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sonalichowdhry/Documents/SOE /"/>
    </mc:Choice>
  </mc:AlternateContent>
  <xr:revisionPtr revIDLastSave="0" documentId="13_ncr:1_{B7E33FEE-3EC1-1143-8E39-679F41755C90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Table I.1" sheetId="1" r:id="rId1"/>
    <sheet name="Chart I.1" sheetId="4" r:id="rId2"/>
    <sheet name="Chart I.2" sheetId="2" r:id="rId3"/>
    <sheet name="Chart I.3" sheetId="3" r:id="rId4"/>
    <sheet name="Chart I.4" sheetId="5" r:id="rId5"/>
    <sheet name="Chart I.5" sheetId="6" r:id="rId6"/>
    <sheet name="Chart I.6" sheetId="7" r:id="rId7"/>
    <sheet name="Chart I.7" sheetId="12" r:id="rId8"/>
    <sheet name="Chart I.8" sheetId="13" r:id="rId9"/>
    <sheet name="Chart I.9" sheetId="14" r:id="rId10"/>
    <sheet name="Chart I.10" sheetId="15" r:id="rId11"/>
    <sheet name="Chart I.11" sheetId="16" r:id="rId12"/>
    <sheet name="Chart I.12" sheetId="17" r:id="rId13"/>
    <sheet name="Chart I.13" sheetId="18" r:id="rId14"/>
    <sheet name="Chart I.14" sheetId="19" r:id="rId15"/>
    <sheet name="Chart I.15" sheetId="20" r:id="rId16"/>
    <sheet name="Chart I.16" sheetId="21" r:id="rId17"/>
    <sheet name="Chart I.17" sheetId="22" r:id="rId18"/>
    <sheet name="Chart I.18" sheetId="23" r:id="rId19"/>
    <sheet name="Chart 1.21" sheetId="24" r:id="rId20"/>
    <sheet name="Chart I.22" sheetId="8" r:id="rId21"/>
    <sheet name="Chart I.23" sheetId="9" r:id="rId22"/>
    <sheet name="Chart I.24" sheetId="10" r:id="rId23"/>
    <sheet name="Chart I.25" sheetId="11" r:id="rId24"/>
    <sheet name="Chart I.26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5" l="1"/>
  <c r="F4" i="5"/>
  <c r="E4" i="5"/>
  <c r="D4" i="5"/>
  <c r="C4" i="5"/>
  <c r="B4" i="5"/>
  <c r="G5" i="5"/>
  <c r="F5" i="5"/>
  <c r="E5" i="5"/>
  <c r="D5" i="5"/>
  <c r="C5" i="5"/>
  <c r="B5" i="5"/>
  <c r="G6" i="5"/>
  <c r="F6" i="5"/>
  <c r="E6" i="5"/>
  <c r="D6" i="5"/>
  <c r="C6" i="5"/>
  <c r="B6" i="5"/>
  <c r="G7" i="5"/>
  <c r="F7" i="5"/>
  <c r="E7" i="5"/>
  <c r="D7" i="5"/>
  <c r="C7" i="5"/>
  <c r="B7" i="5"/>
  <c r="G8" i="5"/>
  <c r="F8" i="5"/>
  <c r="E8" i="5"/>
  <c r="D8" i="5"/>
  <c r="C8" i="5"/>
  <c r="B8" i="5"/>
  <c r="G9" i="5"/>
  <c r="F9" i="5"/>
  <c r="E9" i="5"/>
  <c r="D9" i="5"/>
  <c r="C9" i="5"/>
  <c r="B9" i="5"/>
  <c r="G10" i="5"/>
  <c r="F10" i="5"/>
  <c r="E10" i="5"/>
  <c r="D10" i="5"/>
  <c r="C10" i="5"/>
  <c r="B10" i="5"/>
  <c r="G11" i="5"/>
  <c r="F11" i="5"/>
  <c r="E11" i="5"/>
  <c r="D11" i="5"/>
  <c r="C11" i="5"/>
  <c r="B11" i="5"/>
  <c r="G12" i="5"/>
  <c r="F12" i="5"/>
  <c r="E12" i="5"/>
  <c r="D12" i="5"/>
  <c r="C12" i="5"/>
  <c r="B12" i="5"/>
  <c r="G13" i="5"/>
  <c r="F13" i="5"/>
  <c r="E13" i="5"/>
  <c r="D13" i="5"/>
  <c r="C13" i="5"/>
  <c r="B13" i="5"/>
  <c r="G14" i="5"/>
  <c r="F14" i="5"/>
  <c r="E14" i="5"/>
  <c r="D14" i="5"/>
  <c r="C14" i="5"/>
  <c r="B14" i="5"/>
  <c r="G15" i="5"/>
  <c r="F15" i="5"/>
  <c r="E15" i="5"/>
  <c r="D15" i="5"/>
  <c r="C15" i="5"/>
  <c r="B15" i="5"/>
  <c r="G16" i="5"/>
  <c r="F16" i="5"/>
  <c r="E16" i="5"/>
  <c r="D16" i="5"/>
  <c r="C16" i="5"/>
  <c r="B16" i="5"/>
  <c r="G17" i="5"/>
  <c r="F17" i="5"/>
  <c r="E17" i="5"/>
  <c r="D17" i="5"/>
  <c r="C17" i="5"/>
  <c r="B17" i="5"/>
  <c r="G18" i="5"/>
  <c r="F18" i="5"/>
  <c r="E18" i="5"/>
  <c r="D18" i="5"/>
  <c r="C18" i="5"/>
  <c r="B18" i="5"/>
  <c r="G19" i="5"/>
  <c r="F19" i="5"/>
  <c r="E19" i="5"/>
  <c r="D19" i="5"/>
  <c r="C19" i="5"/>
  <c r="B19" i="5"/>
  <c r="G20" i="5"/>
  <c r="F20" i="5"/>
  <c r="E20" i="5"/>
  <c r="D20" i="5"/>
  <c r="C20" i="5"/>
  <c r="B20" i="5"/>
  <c r="G21" i="5"/>
  <c r="F21" i="5"/>
  <c r="E21" i="5"/>
  <c r="D21" i="5"/>
  <c r="C21" i="5"/>
  <c r="B21" i="5"/>
  <c r="G22" i="5"/>
  <c r="F22" i="5"/>
  <c r="E22" i="5"/>
  <c r="D22" i="5"/>
  <c r="C22" i="5"/>
  <c r="B22" i="5"/>
  <c r="G23" i="5"/>
  <c r="F23" i="5"/>
  <c r="E23" i="5"/>
  <c r="D23" i="5"/>
  <c r="C23" i="5"/>
  <c r="B23" i="5"/>
  <c r="G24" i="5"/>
  <c r="F24" i="5"/>
  <c r="E24" i="5"/>
  <c r="D24" i="5"/>
  <c r="C24" i="5"/>
  <c r="B24" i="5"/>
  <c r="G25" i="5"/>
  <c r="F25" i="5"/>
  <c r="E25" i="5"/>
  <c r="D25" i="5"/>
  <c r="C25" i="5"/>
  <c r="B25" i="5"/>
  <c r="G26" i="5"/>
  <c r="F26" i="5"/>
  <c r="E26" i="5"/>
  <c r="D26" i="5"/>
  <c r="C26" i="5"/>
  <c r="B26" i="5"/>
  <c r="G27" i="5"/>
  <c r="F27" i="5"/>
  <c r="E27" i="5"/>
  <c r="D27" i="5"/>
  <c r="C27" i="5"/>
  <c r="B27" i="5"/>
  <c r="G28" i="5"/>
  <c r="F28" i="5"/>
  <c r="E28" i="5"/>
  <c r="D28" i="5"/>
  <c r="C28" i="5"/>
  <c r="B28" i="5"/>
  <c r="G29" i="5"/>
  <c r="F29" i="5"/>
  <c r="E29" i="5"/>
  <c r="D29" i="5"/>
  <c r="C29" i="5"/>
  <c r="B29" i="5"/>
  <c r="G30" i="5"/>
  <c r="F30" i="5"/>
  <c r="E30" i="5"/>
  <c r="D30" i="5"/>
  <c r="C30" i="5"/>
  <c r="B30" i="5"/>
  <c r="G31" i="5"/>
  <c r="F31" i="5"/>
  <c r="E31" i="5"/>
  <c r="D31" i="5"/>
  <c r="C31" i="5"/>
  <c r="B31" i="5"/>
  <c r="G32" i="5"/>
  <c r="F32" i="5"/>
  <c r="E32" i="5"/>
  <c r="D32" i="5"/>
  <c r="C32" i="5"/>
  <c r="B32" i="5"/>
  <c r="G33" i="5"/>
  <c r="F33" i="5"/>
  <c r="E33" i="5"/>
  <c r="D33" i="5"/>
  <c r="C33" i="5"/>
  <c r="B33" i="5"/>
  <c r="G34" i="5"/>
  <c r="F34" i="5"/>
  <c r="E34" i="5"/>
  <c r="D34" i="5"/>
  <c r="C34" i="5"/>
  <c r="B34" i="5"/>
  <c r="G35" i="5"/>
  <c r="F35" i="5"/>
  <c r="E35" i="5"/>
  <c r="D35" i="5"/>
  <c r="C35" i="5"/>
  <c r="B35" i="5"/>
  <c r="G36" i="5"/>
  <c r="F36" i="5"/>
  <c r="E36" i="5"/>
  <c r="D36" i="5"/>
  <c r="C36" i="5"/>
  <c r="B36" i="5"/>
  <c r="G37" i="5"/>
  <c r="F37" i="5"/>
  <c r="E37" i="5"/>
  <c r="D37" i="5"/>
  <c r="C37" i="5"/>
  <c r="B37" i="5"/>
  <c r="G38" i="5"/>
  <c r="F38" i="5"/>
  <c r="E38" i="5"/>
  <c r="D38" i="5"/>
  <c r="C38" i="5"/>
  <c r="B38" i="5"/>
  <c r="G39" i="5"/>
  <c r="F39" i="5"/>
  <c r="E39" i="5"/>
  <c r="D39" i="5"/>
  <c r="C39" i="5"/>
  <c r="B39" i="5"/>
  <c r="G40" i="5"/>
  <c r="F40" i="5"/>
  <c r="E40" i="5"/>
  <c r="D40" i="5"/>
  <c r="C40" i="5"/>
  <c r="B40" i="5"/>
  <c r="G41" i="5"/>
  <c r="F41" i="5"/>
  <c r="E41" i="5"/>
  <c r="D41" i="5"/>
  <c r="C41" i="5"/>
  <c r="B41" i="5"/>
  <c r="G42" i="5"/>
  <c r="F42" i="5"/>
  <c r="E42" i="5"/>
  <c r="D42" i="5"/>
  <c r="C42" i="5"/>
  <c r="B42" i="5"/>
  <c r="G43" i="5"/>
  <c r="F43" i="5"/>
  <c r="E43" i="5"/>
  <c r="D43" i="5"/>
  <c r="C43" i="5"/>
  <c r="B43" i="5"/>
  <c r="G44" i="5"/>
  <c r="F44" i="5"/>
  <c r="E44" i="5"/>
  <c r="D44" i="5"/>
  <c r="C44" i="5"/>
  <c r="B44" i="5"/>
  <c r="G45" i="5"/>
  <c r="F45" i="5"/>
  <c r="E45" i="5"/>
  <c r="D45" i="5"/>
  <c r="C45" i="5"/>
  <c r="B45" i="5"/>
  <c r="G46" i="5"/>
  <c r="F46" i="5"/>
  <c r="E46" i="5"/>
  <c r="D46" i="5"/>
  <c r="C46" i="5"/>
  <c r="B46" i="5"/>
  <c r="G47" i="5"/>
  <c r="F47" i="5"/>
  <c r="E47" i="5"/>
  <c r="D47" i="5"/>
  <c r="C47" i="5"/>
  <c r="B47" i="5"/>
  <c r="G48" i="5"/>
  <c r="F48" i="5"/>
  <c r="E48" i="5"/>
  <c r="D48" i="5"/>
  <c r="C48" i="5"/>
  <c r="B48" i="5"/>
  <c r="G49" i="5"/>
  <c r="F49" i="5"/>
  <c r="E49" i="5"/>
  <c r="D49" i="5"/>
  <c r="C49" i="5"/>
  <c r="B49" i="5"/>
  <c r="G50" i="5"/>
  <c r="F50" i="5"/>
  <c r="E50" i="5"/>
  <c r="D50" i="5"/>
  <c r="C50" i="5"/>
  <c r="B50" i="5"/>
  <c r="G51" i="5"/>
  <c r="F51" i="5"/>
  <c r="E51" i="5"/>
  <c r="D51" i="5"/>
  <c r="C51" i="5"/>
  <c r="B51" i="5"/>
  <c r="G52" i="5"/>
  <c r="F52" i="5"/>
  <c r="E52" i="5"/>
  <c r="D52" i="5"/>
  <c r="C52" i="5"/>
  <c r="B52" i="5"/>
  <c r="G53" i="5"/>
  <c r="F53" i="5"/>
  <c r="E53" i="5"/>
  <c r="D53" i="5"/>
  <c r="C53" i="5"/>
  <c r="B53" i="5"/>
  <c r="G54" i="5"/>
  <c r="F54" i="5"/>
  <c r="E54" i="5"/>
  <c r="D54" i="5"/>
  <c r="C54" i="5"/>
  <c r="B54" i="5"/>
  <c r="G55" i="5"/>
  <c r="F55" i="5"/>
  <c r="E55" i="5"/>
  <c r="D55" i="5"/>
  <c r="C55" i="5"/>
  <c r="B55" i="5"/>
  <c r="G56" i="5"/>
  <c r="F56" i="5"/>
  <c r="E56" i="5"/>
  <c r="D56" i="5"/>
  <c r="C56" i="5"/>
  <c r="B56" i="5"/>
  <c r="G57" i="5"/>
  <c r="F57" i="5"/>
  <c r="E57" i="5"/>
  <c r="D57" i="5"/>
  <c r="C57" i="5"/>
  <c r="B57" i="5"/>
  <c r="G58" i="5"/>
  <c r="F58" i="5"/>
  <c r="E58" i="5"/>
  <c r="D58" i="5"/>
  <c r="C58" i="5"/>
  <c r="B58" i="5"/>
  <c r="G59" i="5"/>
  <c r="F59" i="5"/>
  <c r="E59" i="5"/>
  <c r="D59" i="5"/>
  <c r="C59" i="5"/>
  <c r="B59" i="5"/>
  <c r="G60" i="5"/>
  <c r="F60" i="5"/>
  <c r="E60" i="5"/>
  <c r="D60" i="5"/>
  <c r="C60" i="5"/>
  <c r="B60" i="5"/>
  <c r="G61" i="5"/>
  <c r="F61" i="5"/>
  <c r="E61" i="5"/>
  <c r="D61" i="5"/>
  <c r="C61" i="5"/>
  <c r="B61" i="5"/>
  <c r="G62" i="5"/>
  <c r="F62" i="5"/>
  <c r="E62" i="5"/>
  <c r="D62" i="5"/>
  <c r="C62" i="5"/>
  <c r="B62" i="5"/>
  <c r="G63" i="5"/>
  <c r="F63" i="5"/>
  <c r="E63" i="5"/>
  <c r="D63" i="5"/>
  <c r="C63" i="5"/>
  <c r="B63" i="5"/>
</calcChain>
</file>

<file path=xl/sharedStrings.xml><?xml version="1.0" encoding="utf-8"?>
<sst xmlns="http://schemas.openxmlformats.org/spreadsheetml/2006/main" count="341" uniqueCount="162">
  <si>
    <t>Growth</t>
  </si>
  <si>
    <t>Jan '25</t>
  </si>
  <si>
    <t>Apr '25</t>
  </si>
  <si>
    <t>Jul'25</t>
  </si>
  <si>
    <t>Oct'25</t>
  </si>
  <si>
    <t>Jan'26</t>
  </si>
  <si>
    <t>AE</t>
  </si>
  <si>
    <t>EMDE</t>
  </si>
  <si>
    <t>Global</t>
  </si>
  <si>
    <t>Inflation</t>
  </si>
  <si>
    <t>Source: Various editions of the IMF WEO (https://www.imf.org/en/publications/weo)</t>
  </si>
  <si>
    <t>China</t>
  </si>
  <si>
    <t>Indonesia</t>
  </si>
  <si>
    <t>India</t>
  </si>
  <si>
    <t>Korea</t>
  </si>
  <si>
    <t>Mexico</t>
  </si>
  <si>
    <t>Source: Central Bank Statistics, Bank for International Settlements (BIS) (Accessed on 6th January 2026) (https://data.bis.org/)</t>
  </si>
  <si>
    <t>UK</t>
  </si>
  <si>
    <t>Japan</t>
  </si>
  <si>
    <t>US</t>
  </si>
  <si>
    <t>Euro area</t>
  </si>
  <si>
    <t>USA</t>
  </si>
  <si>
    <t>Italy</t>
  </si>
  <si>
    <t>Germany</t>
  </si>
  <si>
    <t>France</t>
  </si>
  <si>
    <t>Brazil</t>
  </si>
  <si>
    <t>Avg over 2015-2019</t>
  </si>
  <si>
    <t>Avg over2020-2021</t>
  </si>
  <si>
    <t>Source: IMF WEO October 2025 (https://data.imf.org/en/datasets/IMF.RES:WEO)</t>
  </si>
  <si>
    <t>Euro</t>
  </si>
  <si>
    <t>Source: Bloomberg</t>
  </si>
  <si>
    <t>Global Economic Policy Uncertainty Index</t>
  </si>
  <si>
    <t>Source: https://policyuncertainty.com/</t>
  </si>
  <si>
    <t>World</t>
  </si>
  <si>
    <t>Europe</t>
  </si>
  <si>
    <t>Africa</t>
  </si>
  <si>
    <t>Asia</t>
  </si>
  <si>
    <t>Developed Economies</t>
  </si>
  <si>
    <t>North America</t>
  </si>
  <si>
    <t>Developing Economies</t>
  </si>
  <si>
    <t>Source: UNCTAD World Investment Report 2025 (https://unctad.org/publication/world-investment-report-2025)</t>
  </si>
  <si>
    <t>India 10 yr Bond yield</t>
  </si>
  <si>
    <t>US 10yr Bond yield</t>
  </si>
  <si>
    <t>Spread</t>
  </si>
  <si>
    <t>NFC</t>
  </si>
  <si>
    <t>Personal loans</t>
  </si>
  <si>
    <t>Industry</t>
  </si>
  <si>
    <t>Services</t>
  </si>
  <si>
    <t>Source: dbie.rbi.org.in (Publications -&gt;RBI Bulletin -&gt; Money and Banking -&gt; Table15)</t>
  </si>
  <si>
    <t>Growth in credit outstanding (%)</t>
  </si>
  <si>
    <t>In %</t>
  </si>
  <si>
    <t>in percenatge points</t>
  </si>
  <si>
    <t>in USD trillion</t>
  </si>
  <si>
    <t>FY20</t>
  </si>
  <si>
    <t>FY21</t>
  </si>
  <si>
    <t>FY22</t>
  </si>
  <si>
    <t>FY23</t>
  </si>
  <si>
    <t>FY24</t>
  </si>
  <si>
    <t>FY25</t>
  </si>
  <si>
    <t>Apr- Nov</t>
  </si>
  <si>
    <t>₹ lakh crore</t>
  </si>
  <si>
    <t>Source: RBI Bulletin Table 18(a)</t>
  </si>
  <si>
    <t>USD Billion</t>
  </si>
  <si>
    <t>₹ crore</t>
  </si>
  <si>
    <t>%</t>
  </si>
  <si>
    <t>Services trade balance</t>
  </si>
  <si>
    <t>Net private transfers</t>
  </si>
  <si>
    <t>CAB</t>
  </si>
  <si>
    <t>GDP</t>
  </si>
  <si>
    <t>CAB as % of GDP (RHS)</t>
  </si>
  <si>
    <t>Q1</t>
  </si>
  <si>
    <t>Q2</t>
  </si>
  <si>
    <t>Q3</t>
  </si>
  <si>
    <t>Q4</t>
  </si>
  <si>
    <t>FY26</t>
  </si>
  <si>
    <t>Source: dbie.rbi.org.in (Publications -&gt; Handbook of Statistics on Indian Economy -&gt; Quarterly/Monthly Series -&gt; External Sector -&gt; Table 196), and MoSPI</t>
  </si>
  <si>
    <t>Merchandise trade balance</t>
  </si>
  <si>
    <t>PFCE (% of GDP)</t>
  </si>
  <si>
    <t>3 period moving average</t>
  </si>
  <si>
    <t>H1</t>
  </si>
  <si>
    <t>FY12</t>
  </si>
  <si>
    <t>FY13</t>
  </si>
  <si>
    <t>FY14</t>
  </si>
  <si>
    <t>FY15</t>
  </si>
  <si>
    <t>FY16</t>
  </si>
  <si>
    <t>FY17</t>
  </si>
  <si>
    <t>FY18</t>
  </si>
  <si>
    <t>FY19</t>
  </si>
  <si>
    <t>PFCE growth</t>
  </si>
  <si>
    <t>Avg Growth (FY16-20)</t>
  </si>
  <si>
    <t>H2</t>
  </si>
  <si>
    <t>Source: MoSPI</t>
  </si>
  <si>
    <t>GFCF growth</t>
  </si>
  <si>
    <t>Chart I.9: Growth in GFCF remains robust</t>
  </si>
  <si>
    <t>GFCF (% of GDP)</t>
  </si>
  <si>
    <t>Chart I.10: GFCF contribution to
GDP remains steady</t>
  </si>
  <si>
    <t>Growth in exports of goods and services</t>
  </si>
  <si>
    <t>Chart I.11: Export growth sustains above pre-pandemic levels</t>
  </si>
  <si>
    <t>Exports of goods and services (% of GDP)</t>
  </si>
  <si>
    <t>3 period MA</t>
  </si>
  <si>
    <t>Chart I.12: Exports share in GDP
remain stable despite global headwinds</t>
  </si>
  <si>
    <t>Agriculture and allied sectors growth</t>
  </si>
  <si>
    <t>Chart I.13: Agricultural growth improves, but remains below the long-term average</t>
  </si>
  <si>
    <t xml:space="preserve">Crop </t>
  </si>
  <si>
    <t>Livestock</t>
  </si>
  <si>
    <t>Chart I.14: Volatile crop growth offset by stable expansion in allied activities</t>
  </si>
  <si>
    <t>Chart I.15: Growth in manufacturing GVA deflator has remained moderate</t>
  </si>
  <si>
    <t>Agriculture, forestry &amp; fishing</t>
  </si>
  <si>
    <t xml:space="preserve">Manufacturing </t>
  </si>
  <si>
    <t>Manufacturing GVA share in real GDP</t>
  </si>
  <si>
    <t>Manufacturing GVA share in nominal GDP</t>
  </si>
  <si>
    <t>Chart 1.16: Share of manufacturing
remains stable in real terms</t>
  </si>
  <si>
    <t xml:space="preserve">Source: MoSPI			</t>
  </si>
  <si>
    <t>Chart I.17: Sectoral growth in H1:FY26 higher than pre-pandemic trends</t>
  </si>
  <si>
    <t>H1:FY16-FY20</t>
  </si>
  <si>
    <t>H1:FY25</t>
  </si>
  <si>
    <t>H1:FY26</t>
  </si>
  <si>
    <t xml:space="preserve">   Mining &amp; quarrying</t>
  </si>
  <si>
    <t xml:space="preserve">   Manufacturing</t>
  </si>
  <si>
    <t xml:space="preserve">   Electricity, gas ,water supply &amp; other utility services</t>
  </si>
  <si>
    <t xml:space="preserve">   Construction</t>
  </si>
  <si>
    <t xml:space="preserve">   Trade, hotels, transport, communication and services related to broadcasting </t>
  </si>
  <si>
    <t xml:space="preserve">   Financial,  real estate  &amp;  professional  services </t>
  </si>
  <si>
    <t xml:space="preserve">   Public administration, defence  and Other Services</t>
  </si>
  <si>
    <t>Chart: I.21: Trends in CPI inflation components</t>
  </si>
  <si>
    <t>Headline CPI</t>
  </si>
  <si>
    <t>CPFI</t>
  </si>
  <si>
    <t>Core Inflation</t>
  </si>
  <si>
    <t>Core Inflation
 (Excluding Gold and Silver)</t>
  </si>
  <si>
    <t>FY26 (Upto Dec)</t>
  </si>
  <si>
    <t>Chart I.24:Overall flow of financial resources to commercial sector in India from non-bank sources</t>
  </si>
  <si>
    <t>Chart I.26: Labour market dynamics for (Apr-Dec) FY26</t>
  </si>
  <si>
    <t>UR</t>
  </si>
  <si>
    <t>Q1 FY26</t>
  </si>
  <si>
    <t>Q2 FY26</t>
  </si>
  <si>
    <t>Q3 FY26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</si>
  <si>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</si>
  <si>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</si>
  <si>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</si>
  <si>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</si>
  <si>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</si>
  <si>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</si>
  <si>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</si>
  <si>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</si>
  <si>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</si>
  <si>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LFPR</t>
  </si>
  <si>
    <t xml:space="preserve"> Source: PLFS Monthly Bulletin</t>
  </si>
  <si>
    <t>Chart I.23: Sectoral deployment of credit by SCBs</t>
  </si>
  <si>
    <t>Chart I.22:Declining sovereign 10-yr yield spread over US bonds indicates lower risk premium</t>
  </si>
  <si>
    <t>Source: RBI,Bloomberg</t>
  </si>
  <si>
    <t>Chart I.6:Deteriorating global FDI flows</t>
  </si>
  <si>
    <t>Chart I.5:Global Policy Uncertainty remains elevated</t>
  </si>
  <si>
    <t>Chart I.4: Soveriegn 10Y bond yields of major economies remain elevated (in %)</t>
  </si>
  <si>
    <t>Chart I.3:Primary deficits in major economies are higher than pre-pandemic levels (As per cent of GDP)</t>
  </si>
  <si>
    <t>Chart I.2:Policy rates in AEs (in %)</t>
  </si>
  <si>
    <t>Chart I.1:Policy rates in EMDEs (in %)</t>
  </si>
  <si>
    <t>Table I.1: Revisions in IMF's global growth and inflation projections vis-a-vis Jan' 25 forecasts</t>
  </si>
  <si>
    <t>Note: The colour coding is based on deviation from the Jan 2025 forecasts.</t>
  </si>
  <si>
    <t>Chart I.7: Growth in PFCE highest since H1 of FY24</t>
  </si>
  <si>
    <t>Chart I.8: Share of PFCE in GDP shifts to higher level</t>
  </si>
  <si>
    <t>Chart I.18: Sectoral growth in H1:FY26 higher than pre-pandemic trends</t>
  </si>
  <si>
    <t>Chart I.25: Current account balance remains 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</si>
</sst>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73" formatCode="0.0%"/>
  </numFmts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i/>
      <sz val="11"/>
      <color theme="1"/>
      <name val="Times"/>
    </font>
    <font>
      <sz val="10"/>
      <color theme="1"/>
      <name val="Georgia"/>
      <family val="1"/>
    </font>
    <font>
      <sz val="10"/>
      <color rgb="FF000000"/>
      <name val="Georgia"/>
      <family val="1"/>
    </font>
    <font>
      <i/>
      <sz val="11"/>
      <color rgb="FF000000"/>
      <name val="Time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17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3" fontId="3" fillId="0" borderId="1" xfId="1" applyNumberFormat="1" applyFont="1" applyBorder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wrapText="1"/>
    </xf>
    <xf numFmtId="17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8" fillId="0" borderId="0" xfId="0" applyFont="1"/>
    <xf numFmtId="17" fontId="6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Per cent" xfId="1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584200</xdr:colOff>
      <xdr:row>4</xdr:row>
      <xdr:rowOff>63499</xdr:rowOff>
    </xdr:from>
    <xdr:to>
      <xdr:col>19</xdr:col>
      <xdr:colOff>558800</xdr:colOff>
      <xdr:row>26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F118B-282B-9F5A-0F00-5AA451546F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24" t="4892" r="2941" b="2487"/>
        <a:stretch>
          <a:fillRect/>
        </a:stretch>
      </xdr:blipFill>
      <xdr:spPr>
        <a:xfrm>
          <a:off x="7035800" y="1117599"/>
          <a:ext cx="7378700" cy="38481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2</xdr:row>
      <xdr:rowOff>127000</xdr:rowOff>
    </xdr:from>
    <xdr:to>
      <xdr:col>10</xdr:col>
      <xdr:colOff>635000</xdr:colOff>
      <xdr:row>15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57EEDB-7867-C8FF-1FEE-AFE1DDEF9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9600" y="482600"/>
          <a:ext cx="2705100" cy="2197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469899</xdr:rowOff>
    </xdr:from>
    <xdr:to>
      <xdr:col>10</xdr:col>
      <xdr:colOff>76200</xdr:colOff>
      <xdr:row>15</xdr:row>
      <xdr:rowOff>74236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2D55E2-8DF9-0B0C-D1E5-A5BDF7772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647699"/>
          <a:ext cx="3378200" cy="277933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10</xdr:col>
      <xdr:colOff>254000</xdr:colOff>
      <xdr:row>18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92A0CF-83CE-FD8B-E5BC-73E4C6312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6700" y="1092200"/>
          <a:ext cx="2730500" cy="2311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3</xdr:row>
      <xdr:rowOff>419100</xdr:rowOff>
    </xdr:from>
    <xdr:to>
      <xdr:col>8</xdr:col>
      <xdr:colOff>330200</xdr:colOff>
      <xdr:row>12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F2225-9367-C646-F477-8EC4DDFE2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3700" y="1181100"/>
          <a:ext cx="2730500" cy="2311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14</xdr:col>
      <xdr:colOff>368300</xdr:colOff>
      <xdr:row>22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AB3AC-9EC4-3B88-3349-F40C1301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8300" y="1168400"/>
          <a:ext cx="6146800" cy="3225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8</xdr:col>
      <xdr:colOff>279400</xdr:colOff>
      <xdr:row>18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B2D787-4644-6C1F-039C-5A8BD0A87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1143000"/>
          <a:ext cx="2755900" cy="2286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10</xdr:col>
      <xdr:colOff>279400</xdr:colOff>
      <xdr:row>16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AF1971-D1E9-FB9C-012F-6550D8A2D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8500" y="889000"/>
          <a:ext cx="2755900" cy="2286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698500</xdr:colOff>
      <xdr:row>4</xdr:row>
      <xdr:rowOff>88900</xdr:rowOff>
    </xdr:from>
    <xdr:to>
      <xdr:col>9</xdr:col>
      <xdr:colOff>203200</xdr:colOff>
      <xdr:row>17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B94C2D-AD37-0C0C-6544-5589F94D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0" y="1206500"/>
          <a:ext cx="2806700" cy="2286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812800</xdr:colOff>
      <xdr:row>2</xdr:row>
      <xdr:rowOff>114300</xdr:rowOff>
    </xdr:from>
    <xdr:to>
      <xdr:col>11</xdr:col>
      <xdr:colOff>736600</xdr:colOff>
      <xdr:row>12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6D5EA0-9BB8-5917-CECF-EB3D1D8D1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0" y="469900"/>
          <a:ext cx="5702300" cy="22987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4</xdr:row>
      <xdr:rowOff>279400</xdr:rowOff>
    </xdr:from>
    <xdr:to>
      <xdr:col>12</xdr:col>
      <xdr:colOff>787400</xdr:colOff>
      <xdr:row>11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C4F9E-D64E-9CA5-BFEA-DDB2C5732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1206500"/>
          <a:ext cx="5575300" cy="2425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12</xdr:col>
      <xdr:colOff>12700</xdr:colOff>
      <xdr:row>19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7ECE16-6126-3FDB-473C-75D905B6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800" y="1066800"/>
          <a:ext cx="2705100" cy="24257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635000</xdr:colOff>
      <xdr:row>6</xdr:row>
      <xdr:rowOff>25400</xdr:rowOff>
    </xdr:from>
    <xdr:to>
      <xdr:col>13</xdr:col>
      <xdr:colOff>444500</xdr:colOff>
      <xdr:row>16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FA15DA-7208-834A-91BE-B89D0B54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1092200"/>
          <a:ext cx="5588000" cy="2286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14</xdr:col>
      <xdr:colOff>177800</xdr:colOff>
      <xdr:row>18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E14804-1D15-35FA-A728-38C2F8E3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6200" y="1422400"/>
          <a:ext cx="5562600" cy="2451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12</xdr:col>
      <xdr:colOff>38100</xdr:colOff>
      <xdr:row>19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2BC34-26F6-4CDA-6E4B-88FAEBEA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7600" y="1320800"/>
          <a:ext cx="2730500" cy="22987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10</xdr:col>
      <xdr:colOff>38100</xdr:colOff>
      <xdr:row>14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3C5BF-3AD8-FC72-7A8E-65F268CC5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723900"/>
          <a:ext cx="2730500" cy="22987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603250</xdr:colOff>
      <xdr:row>1</xdr:row>
      <xdr:rowOff>12700</xdr:rowOff>
    </xdr:from>
    <xdr:to>
      <xdr:col>16</xdr:col>
      <xdr:colOff>311039</xdr:colOff>
      <xdr:row>14</xdr:row>
      <xdr:rowOff>152131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32D5E4-4F7B-A1A1-79E7-4804A689D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7700" y="196850"/>
          <a:ext cx="4584589" cy="275563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101600</xdr:colOff>
      <xdr:row>19</xdr:row>
      <xdr:rowOff>0</xdr:rowOff>
    </xdr:from>
    <xdr:to>
      <xdr:col>10</xdr:col>
      <xdr:colOff>355600</xdr:colOff>
      <xdr:row>32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8E8A8A-1603-D768-C981-07972D6D3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0100" y="3378200"/>
          <a:ext cx="2730500" cy="2451100"/>
        </a:xfrm>
        <a:prstGeom prst="rect">
          <a:avLst/>
        </a:prstGeom>
      </xdr:spPr>
    </xdr:pic>
    <xdr:clientData/>
  </xdr:twoCellAnchor>
  <xdr:twoCellAnchor editAs="oneCell">
    <xdr:from>
      <xdr:col>7</xdr:col>
      <xdr:colOff>241300</xdr:colOff>
      <xdr:row>1</xdr:row>
      <xdr:rowOff>25400</xdr:rowOff>
    </xdr:from>
    <xdr:to>
      <xdr:col>10</xdr:col>
      <xdr:colOff>495300</xdr:colOff>
      <xdr:row>14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42C89E-5E9B-C1C6-25FA-CC89C1D9C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0" y="203200"/>
          <a:ext cx="2730500" cy="245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10</xdr:col>
      <xdr:colOff>152400</xdr:colOff>
      <xdr:row>17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7D6ED-F7B4-C682-499C-59E25D0E2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711200"/>
          <a:ext cx="2844800" cy="2451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12</xdr:col>
      <xdr:colOff>139700</xdr:colOff>
      <xdr:row>21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8B185-2F0B-91EF-340F-087630467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00" y="1600200"/>
          <a:ext cx="2832100" cy="2273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12</xdr:col>
      <xdr:colOff>101600</xdr:colOff>
      <xdr:row>20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324C8E-6437-C970-535C-4607D6E65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1200" y="1244600"/>
          <a:ext cx="2794000" cy="2247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8</xdr:col>
      <xdr:colOff>101600</xdr:colOff>
      <xdr:row>16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38AD21-F41C-A53A-F42C-0DCD5EFC9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4500" y="1282700"/>
          <a:ext cx="2794000" cy="228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9</xdr:col>
      <xdr:colOff>152400</xdr:colOff>
      <xdr:row>14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E02663-B58C-A201-4DA9-35AAFDE4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4500" y="711200"/>
          <a:ext cx="2844800" cy="229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3</xdr:row>
      <xdr:rowOff>38100</xdr:rowOff>
    </xdr:from>
    <xdr:to>
      <xdr:col>12</xdr:col>
      <xdr:colOff>1066800</xdr:colOff>
      <xdr:row>21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C385C3-2DC6-D36E-AA62-71C41B591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2300" y="571500"/>
          <a:ext cx="6146800" cy="3225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3</xdr:row>
      <xdr:rowOff>368299</xdr:rowOff>
    </xdr:from>
    <xdr:to>
      <xdr:col>8</xdr:col>
      <xdr:colOff>520700</xdr:colOff>
      <xdr:row>17</xdr:row>
      <xdr:rowOff>120968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34E46-60C2-A2C4-A90B-D6A6002DD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800" y="1092199"/>
          <a:ext cx="3136900" cy="2635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F31" sqref="F31"/>
    </sheetView>
  </sheetViews>
  <sheetFormatPr baseColWidth="10" defaultColWidth="8.83203125" defaultRowHeight="14"/>
  <cols>
    <col min="1" max="7" width="10.83203125" style="6" customWidth="1"/>
    <col min="8" max="16384" width="8.83203125" style="6"/>
  </cols>
  <sheetData>
    <row r="1" spans="1:11">
      <c r="A1" s="23"/>
      <c r="B1" s="20"/>
      <c r="C1" s="20"/>
      <c r="D1" s="20"/>
      <c r="E1" s="20"/>
      <c r="F1" s="20"/>
      <c r="G1" s="20"/>
    </row>
    <row r="2" spans="1:11" ht="41" customHeight="1">
      <c r="A2" s="7" t="s">
        <v>156</v>
      </c>
      <c r="B2" s="7"/>
      <c r="C2" s="7"/>
      <c r="D2" s="7"/>
      <c r="E2" s="7"/>
      <c r="F2" s="7"/>
      <c r="G2" s="7"/>
    </row>
    <row r="3" spans="1:11">
      <c r="A3" s="9" t="s">
        <v>0</v>
      </c>
      <c r="B3" s="10"/>
      <c r="C3" s="10"/>
      <c r="D3" s="10"/>
      <c r="E3" s="10"/>
      <c r="F3" s="10"/>
      <c r="G3" s="11"/>
      <c r="K3" s="49"/>
    </row>
    <row r="4" spans="1:11">
      <c r="A4" s="1"/>
      <c r="B4" s="1"/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11">
      <c r="A5" s="26">
        <v>2025</v>
      </c>
      <c r="B5" s="1" t="s">
        <v>6</v>
      </c>
      <c r="C5" s="1">
        <v>1.9</v>
      </c>
      <c r="D5" s="1">
        <v>1.4</v>
      </c>
      <c r="E5" s="1">
        <v>1.5</v>
      </c>
      <c r="F5" s="1">
        <v>1.6</v>
      </c>
      <c r="G5" s="1">
        <v>1.7</v>
      </c>
      <c r="I5" s="5"/>
    </row>
    <row r="6" spans="1:11">
      <c r="A6" s="27"/>
      <c r="B6" s="1" t="s">
        <v>7</v>
      </c>
      <c r="C6" s="1">
        <v>4.2</v>
      </c>
      <c r="D6" s="1">
        <v>3.7</v>
      </c>
      <c r="E6" s="1">
        <v>4.0999999999999996</v>
      </c>
      <c r="F6" s="1">
        <v>4.2</v>
      </c>
      <c r="G6" s="1">
        <v>4.4000000000000004</v>
      </c>
      <c r="I6" s="5"/>
    </row>
    <row r="7" spans="1:11">
      <c r="A7" s="28"/>
      <c r="B7" s="1" t="s">
        <v>8</v>
      </c>
      <c r="C7" s="1">
        <v>3.3</v>
      </c>
      <c r="D7" s="1">
        <v>2.8</v>
      </c>
      <c r="E7" s="1">
        <v>3</v>
      </c>
      <c r="F7" s="1">
        <v>3.2</v>
      </c>
      <c r="G7" s="1">
        <v>3.3</v>
      </c>
    </row>
    <row r="8" spans="1:11">
      <c r="A8" s="26">
        <v>2026</v>
      </c>
      <c r="B8" s="1" t="s">
        <v>6</v>
      </c>
      <c r="C8" s="1">
        <v>1.8</v>
      </c>
      <c r="D8" s="1">
        <v>1.5</v>
      </c>
      <c r="E8" s="1">
        <v>1.6</v>
      </c>
      <c r="F8" s="1">
        <v>1.6</v>
      </c>
      <c r="G8" s="1">
        <v>1.8</v>
      </c>
    </row>
    <row r="9" spans="1:11">
      <c r="A9" s="27"/>
      <c r="B9" s="1" t="s">
        <v>7</v>
      </c>
      <c r="C9" s="1">
        <v>4.3</v>
      </c>
      <c r="D9" s="1">
        <v>3.9</v>
      </c>
      <c r="E9" s="1">
        <v>4</v>
      </c>
      <c r="F9" s="1">
        <v>4</v>
      </c>
      <c r="G9" s="1">
        <v>4.2</v>
      </c>
    </row>
    <row r="10" spans="1:11">
      <c r="A10" s="28"/>
      <c r="B10" s="1" t="s">
        <v>8</v>
      </c>
      <c r="C10" s="1">
        <v>3.3</v>
      </c>
      <c r="D10" s="1">
        <v>3</v>
      </c>
      <c r="E10" s="1">
        <v>3.1</v>
      </c>
      <c r="F10" s="1">
        <v>3.1</v>
      </c>
      <c r="G10" s="1">
        <v>3.3</v>
      </c>
    </row>
    <row r="12" spans="1:11">
      <c r="A12" s="2" t="s">
        <v>9</v>
      </c>
      <c r="B12" s="2"/>
      <c r="C12" s="2"/>
      <c r="D12" s="2"/>
      <c r="E12" s="2"/>
      <c r="F12" s="2"/>
      <c r="G12" s="2"/>
    </row>
    <row r="13" spans="1:11">
      <c r="A13" s="1"/>
      <c r="B13" s="1"/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</row>
    <row r="14" spans="1:11">
      <c r="A14" s="26">
        <v>2025</v>
      </c>
      <c r="B14" s="1" t="s">
        <v>6</v>
      </c>
      <c r="C14" s="1">
        <v>2.1</v>
      </c>
      <c r="D14" s="1">
        <v>2.5</v>
      </c>
      <c r="E14" s="1">
        <v>2.5</v>
      </c>
      <c r="F14" s="1">
        <v>2.5</v>
      </c>
      <c r="G14" s="1">
        <v>2.5</v>
      </c>
    </row>
    <row r="15" spans="1:11">
      <c r="A15" s="27"/>
      <c r="B15" s="1" t="s">
        <v>7</v>
      </c>
      <c r="C15" s="1">
        <v>5.6</v>
      </c>
      <c r="D15" s="1">
        <v>5.5</v>
      </c>
      <c r="E15" s="1">
        <v>5.4</v>
      </c>
      <c r="F15" s="1">
        <v>5.3</v>
      </c>
      <c r="G15" s="1">
        <v>5.2</v>
      </c>
    </row>
    <row r="16" spans="1:11">
      <c r="A16" s="28"/>
      <c r="B16" s="1" t="s">
        <v>8</v>
      </c>
      <c r="C16" s="1">
        <v>4.2</v>
      </c>
      <c r="D16" s="1">
        <v>4.3</v>
      </c>
      <c r="E16" s="1">
        <v>4.2</v>
      </c>
      <c r="F16" s="1">
        <v>4.2</v>
      </c>
      <c r="G16" s="1">
        <v>4.0999999999999996</v>
      </c>
    </row>
    <row r="17" spans="1:7">
      <c r="A17" s="26">
        <v>2026</v>
      </c>
      <c r="B17" s="1" t="s">
        <v>6</v>
      </c>
      <c r="C17" s="1">
        <v>2</v>
      </c>
      <c r="D17" s="1">
        <v>2.2000000000000002</v>
      </c>
      <c r="E17" s="1">
        <v>2.1</v>
      </c>
      <c r="F17" s="1">
        <v>2.2000000000000002</v>
      </c>
      <c r="G17" s="1">
        <v>2.2000000000000002</v>
      </c>
    </row>
    <row r="18" spans="1:7">
      <c r="A18" s="27"/>
      <c r="B18" s="1" t="s">
        <v>7</v>
      </c>
      <c r="C18" s="1">
        <v>4.5</v>
      </c>
      <c r="D18" s="1">
        <v>4.5999999999999996</v>
      </c>
      <c r="E18" s="1">
        <v>4.5</v>
      </c>
      <c r="F18" s="1">
        <v>4.7</v>
      </c>
      <c r="G18" s="1">
        <v>4.8</v>
      </c>
    </row>
    <row r="19" spans="1:7">
      <c r="A19" s="28"/>
      <c r="B19" s="1" t="s">
        <v>8</v>
      </c>
      <c r="C19" s="1">
        <v>3.5</v>
      </c>
      <c r="D19" s="1">
        <v>3.6</v>
      </c>
      <c r="E19" s="1">
        <v>3.6</v>
      </c>
      <c r="F19" s="1">
        <v>3.7</v>
      </c>
      <c r="G19" s="1">
        <v>3.8</v>
      </c>
    </row>
    <row r="20" spans="1:7">
      <c r="A20" s="22" t="s">
        <v>10</v>
      </c>
      <c r="B20" s="22"/>
      <c r="C20" s="22"/>
      <c r="D20" s="22"/>
      <c r="E20" s="22"/>
      <c r="F20" s="22"/>
      <c r="G20" s="22"/>
    </row>
    <row r="21" spans="1:7">
      <c r="A21" s="16" t="s">
        <v>157</v>
      </c>
      <c r="B21" s="17"/>
      <c r="C21" s="17"/>
      <c r="D21" s="17"/>
      <c r="E21" s="17"/>
      <c r="F21" s="17"/>
      <c r="G21" s="18"/>
    </row>
  </sheetData>
  <mergeCells count="10">
    <mergeCell ref="A21:G21"/>
    <mergeCell ref="A20:G20"/>
    <mergeCell ref="A14:A16"/>
    <mergeCell ref="A17:A19"/>
    <mergeCell ref="A1:G1"/>
    <mergeCell ref="A3:G3"/>
    <mergeCell ref="A5:A7"/>
    <mergeCell ref="A8:A10"/>
    <mergeCell ref="A12:G12"/>
    <mergeCell ref="A2:G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BE38-4CEE-114F-9121-69E3F184341D}">
  <dimension ref="A3:F8"/>
  <sheetViews>
    <sheetView workbookViewId="0">
      <selection activeCell="A8" sqref="A8:F8"/>
    </sheetView>
  </sheetViews>
  <sheetFormatPr baseColWidth="10" defaultRowHeight="14"/>
  <cols>
    <col min="1" max="1" width="21" style="6" customWidth="1"/>
    <col min="2" max="16384" width="10.83203125" style="6"/>
  </cols>
  <sheetData>
    <row r="3" spans="1:6">
      <c r="A3" s="21" t="s">
        <v>93</v>
      </c>
      <c r="B3" s="21"/>
      <c r="C3" s="21"/>
      <c r="D3" s="21"/>
      <c r="E3" s="21"/>
      <c r="F3" s="21"/>
    </row>
    <row r="4" spans="1:6">
      <c r="A4" s="4"/>
      <c r="B4" s="24" t="s">
        <v>57</v>
      </c>
      <c r="C4" s="25"/>
      <c r="D4" s="24" t="s">
        <v>58</v>
      </c>
      <c r="E4" s="25"/>
      <c r="F4" s="4" t="s">
        <v>74</v>
      </c>
    </row>
    <row r="5" spans="1:6">
      <c r="A5" s="4"/>
      <c r="B5" s="4" t="s">
        <v>79</v>
      </c>
      <c r="C5" s="4" t="s">
        <v>90</v>
      </c>
      <c r="D5" s="4" t="s">
        <v>79</v>
      </c>
      <c r="E5" s="4" t="s">
        <v>90</v>
      </c>
      <c r="F5" s="4" t="s">
        <v>79</v>
      </c>
    </row>
    <row r="6" spans="1:6">
      <c r="A6" s="1" t="s">
        <v>92</v>
      </c>
      <c r="B6" s="3">
        <v>10.063064463804473</v>
      </c>
      <c r="C6" s="3">
        <v>7.5791509258263723</v>
      </c>
      <c r="D6" s="3">
        <v>6.6766982047734569</v>
      </c>
      <c r="E6" s="3">
        <v>7.4343129049683432</v>
      </c>
      <c r="F6" s="3">
        <v>7.5748589195773874</v>
      </c>
    </row>
    <row r="7" spans="1:6">
      <c r="A7" s="1" t="s">
        <v>89</v>
      </c>
      <c r="B7" s="1">
        <v>7.1</v>
      </c>
      <c r="C7" s="1">
        <v>7.1</v>
      </c>
      <c r="D7" s="1">
        <v>7.1</v>
      </c>
      <c r="E7" s="1">
        <v>7.1</v>
      </c>
      <c r="F7" s="1">
        <v>7.1</v>
      </c>
    </row>
    <row r="8" spans="1:6">
      <c r="A8" s="22" t="s">
        <v>91</v>
      </c>
      <c r="B8" s="22"/>
      <c r="C8" s="22"/>
      <c r="D8" s="22"/>
      <c r="E8" s="22"/>
      <c r="F8" s="22"/>
    </row>
  </sheetData>
  <mergeCells count="4">
    <mergeCell ref="A3:F3"/>
    <mergeCell ref="A8:F8"/>
    <mergeCell ref="B4:C4"/>
    <mergeCell ref="D4:E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9306-ECC0-684F-9023-9776B32BD268}">
  <dimension ref="A2:D19"/>
  <sheetViews>
    <sheetView workbookViewId="0">
      <selection activeCell="A19" sqref="A19:D19"/>
    </sheetView>
  </sheetViews>
  <sheetFormatPr baseColWidth="10" defaultRowHeight="14"/>
  <cols>
    <col min="1" max="16384" width="10.83203125" style="6"/>
  </cols>
  <sheetData>
    <row r="2" spans="1:4" ht="37" customHeight="1">
      <c r="A2" s="7" t="s">
        <v>95</v>
      </c>
      <c r="B2" s="7"/>
      <c r="C2" s="7"/>
      <c r="D2" s="7"/>
    </row>
    <row r="3" spans="1:4" ht="45">
      <c r="A3" s="4"/>
      <c r="B3" s="4"/>
      <c r="C3" s="19" t="s">
        <v>94</v>
      </c>
      <c r="D3" s="19" t="s">
        <v>78</v>
      </c>
    </row>
    <row r="4" spans="1:4">
      <c r="A4" s="2" t="s">
        <v>79</v>
      </c>
      <c r="B4" s="1" t="s">
        <v>80</v>
      </c>
      <c r="C4" s="3">
        <v>34.489824237302201</v>
      </c>
      <c r="D4" s="1"/>
    </row>
    <row r="5" spans="1:4">
      <c r="A5" s="2"/>
      <c r="B5" s="1" t="s">
        <v>81</v>
      </c>
      <c r="C5" s="3">
        <v>34.376166299369736</v>
      </c>
      <c r="D5" s="1"/>
    </row>
    <row r="6" spans="1:4">
      <c r="A6" s="2"/>
      <c r="B6" s="1" t="s">
        <v>82</v>
      </c>
      <c r="C6" s="3">
        <v>32.443472089795712</v>
      </c>
      <c r="D6" s="3">
        <v>33.769820875489216</v>
      </c>
    </row>
    <row r="7" spans="1:4">
      <c r="A7" s="2"/>
      <c r="B7" s="1" t="s">
        <v>83</v>
      </c>
      <c r="C7" s="3">
        <v>31.380892569374542</v>
      </c>
      <c r="D7" s="3">
        <v>32.733510319513329</v>
      </c>
    </row>
    <row r="8" spans="1:4">
      <c r="A8" s="2"/>
      <c r="B8" s="1" t="s">
        <v>84</v>
      </c>
      <c r="C8" s="3">
        <v>29.114020987961165</v>
      </c>
      <c r="D8" s="3">
        <v>30.979461882377141</v>
      </c>
    </row>
    <row r="9" spans="1:4">
      <c r="A9" s="2"/>
      <c r="B9" s="1" t="s">
        <v>85</v>
      </c>
      <c r="C9" s="3">
        <v>28.820803359075093</v>
      </c>
      <c r="D9" s="3">
        <v>29.771905638803599</v>
      </c>
    </row>
    <row r="10" spans="1:4">
      <c r="A10" s="2"/>
      <c r="B10" s="1" t="s">
        <v>86</v>
      </c>
      <c r="C10" s="3">
        <v>27.751829606647703</v>
      </c>
      <c r="D10" s="3">
        <v>28.562217984561318</v>
      </c>
    </row>
    <row r="11" spans="1:4">
      <c r="A11" s="2"/>
      <c r="B11" s="1" t="s">
        <v>87</v>
      </c>
      <c r="C11" s="3">
        <v>29.067138174325457</v>
      </c>
      <c r="D11" s="3">
        <v>28.546590380016085</v>
      </c>
    </row>
    <row r="12" spans="1:4">
      <c r="A12" s="2"/>
      <c r="B12" s="1" t="s">
        <v>53</v>
      </c>
      <c r="C12" s="3">
        <v>29.042290482935755</v>
      </c>
      <c r="D12" s="3">
        <v>28.620419421302973</v>
      </c>
    </row>
    <row r="13" spans="1:4">
      <c r="A13" s="2"/>
      <c r="B13" s="1" t="s">
        <v>54</v>
      </c>
      <c r="C13" s="3">
        <v>24.93866844596727</v>
      </c>
      <c r="D13" s="3">
        <v>27.682699034409495</v>
      </c>
    </row>
    <row r="14" spans="1:4">
      <c r="A14" s="2"/>
      <c r="B14" s="1" t="s">
        <v>55</v>
      </c>
      <c r="C14" s="3">
        <v>29.635417116444827</v>
      </c>
      <c r="D14" s="3">
        <v>27.872125348449284</v>
      </c>
    </row>
    <row r="15" spans="1:4">
      <c r="A15" s="2"/>
      <c r="B15" s="1" t="s">
        <v>56</v>
      </c>
      <c r="C15" s="3">
        <v>31.373670369663191</v>
      </c>
      <c r="D15" s="3">
        <v>28.649251977358428</v>
      </c>
    </row>
    <row r="16" spans="1:4">
      <c r="A16" s="2"/>
      <c r="B16" s="1" t="s">
        <v>57</v>
      </c>
      <c r="C16" s="3">
        <v>30.958109077987462</v>
      </c>
      <c r="D16" s="3">
        <v>30.655732188031823</v>
      </c>
    </row>
    <row r="17" spans="1:4">
      <c r="A17" s="2"/>
      <c r="B17" s="1" t="s">
        <v>58</v>
      </c>
      <c r="C17" s="3">
        <v>30.626421150961704</v>
      </c>
      <c r="D17" s="3">
        <v>30.986066866204123</v>
      </c>
    </row>
    <row r="18" spans="1:4">
      <c r="A18" s="2"/>
      <c r="B18" s="1" t="s">
        <v>74</v>
      </c>
      <c r="C18" s="3">
        <v>30.474678547275651</v>
      </c>
      <c r="D18" s="3">
        <v>30.68640292540827</v>
      </c>
    </row>
    <row r="19" spans="1:4">
      <c r="A19" s="16" t="s">
        <v>91</v>
      </c>
      <c r="B19" s="17"/>
      <c r="C19" s="17"/>
      <c r="D19" s="18"/>
    </row>
  </sheetData>
  <mergeCells count="3">
    <mergeCell ref="A4:A18"/>
    <mergeCell ref="A19:D19"/>
    <mergeCell ref="A2:D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E06A-9091-9845-848B-9046B94C09C0}">
  <dimension ref="A2:F7"/>
  <sheetViews>
    <sheetView workbookViewId="0">
      <selection activeCell="A7" sqref="A7:F7"/>
    </sheetView>
  </sheetViews>
  <sheetFormatPr baseColWidth="10" defaultRowHeight="14"/>
  <cols>
    <col min="1" max="1" width="21.83203125" style="6" customWidth="1"/>
    <col min="2" max="16384" width="10.83203125" style="6"/>
  </cols>
  <sheetData>
    <row r="2" spans="1:6">
      <c r="A2" s="21" t="s">
        <v>97</v>
      </c>
      <c r="B2" s="21"/>
      <c r="C2" s="21"/>
      <c r="D2" s="21"/>
      <c r="E2" s="21"/>
      <c r="F2" s="21"/>
    </row>
    <row r="3" spans="1:6">
      <c r="A3" s="4"/>
      <c r="B3" s="21" t="s">
        <v>57</v>
      </c>
      <c r="C3" s="21"/>
      <c r="D3" s="21" t="s">
        <v>58</v>
      </c>
      <c r="E3" s="21"/>
      <c r="F3" s="4" t="s">
        <v>74</v>
      </c>
    </row>
    <row r="4" spans="1:6">
      <c r="A4" s="4"/>
      <c r="B4" s="4" t="s">
        <v>79</v>
      </c>
      <c r="C4" s="4" t="s">
        <v>90</v>
      </c>
      <c r="D4" s="4" t="s">
        <v>79</v>
      </c>
      <c r="E4" s="4" t="s">
        <v>90</v>
      </c>
      <c r="F4" s="4" t="s">
        <v>79</v>
      </c>
    </row>
    <row r="5" spans="1:6" ht="30">
      <c r="A5" s="15" t="s">
        <v>96</v>
      </c>
      <c r="B5" s="3">
        <v>-1.1651066265924603</v>
      </c>
      <c r="C5" s="3">
        <v>5.4088491070164224</v>
      </c>
      <c r="D5" s="3">
        <v>5.4901153777839662</v>
      </c>
      <c r="E5" s="3">
        <v>7.1053098925589753</v>
      </c>
      <c r="F5" s="3">
        <v>5.9425768455242611</v>
      </c>
    </row>
    <row r="6" spans="1:6">
      <c r="A6" s="1" t="s">
        <v>89</v>
      </c>
      <c r="B6" s="3">
        <v>2.5078544479231155</v>
      </c>
      <c r="C6" s="3">
        <v>2.5078544479231155</v>
      </c>
      <c r="D6" s="3">
        <v>2.5078544479231155</v>
      </c>
      <c r="E6" s="3">
        <v>2.5078544479231155</v>
      </c>
      <c r="F6" s="3">
        <v>2.5078544479231155</v>
      </c>
    </row>
    <row r="7" spans="1:6">
      <c r="A7" s="22" t="s">
        <v>91</v>
      </c>
      <c r="B7" s="22"/>
      <c r="C7" s="22"/>
      <c r="D7" s="22"/>
      <c r="E7" s="22"/>
      <c r="F7" s="22"/>
    </row>
  </sheetData>
  <mergeCells count="4">
    <mergeCell ref="B3:C3"/>
    <mergeCell ref="D3:E3"/>
    <mergeCell ref="A2:F2"/>
    <mergeCell ref="A7:F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A2E7-8800-3349-926E-EB136FE4CD8A}">
  <dimension ref="A3:D20"/>
  <sheetViews>
    <sheetView workbookViewId="0">
      <selection activeCell="A20" sqref="A20:D20"/>
    </sheetView>
  </sheetViews>
  <sheetFormatPr baseColWidth="10" defaultRowHeight="14"/>
  <cols>
    <col min="1" max="16384" width="10.83203125" style="6"/>
  </cols>
  <sheetData>
    <row r="3" spans="1:4" ht="32" customHeight="1">
      <c r="A3" s="7" t="s">
        <v>100</v>
      </c>
      <c r="B3" s="7"/>
      <c r="C3" s="7"/>
      <c r="D3" s="7"/>
    </row>
    <row r="4" spans="1:4" ht="90">
      <c r="A4" s="19"/>
      <c r="B4" s="19"/>
      <c r="C4" s="19" t="s">
        <v>98</v>
      </c>
      <c r="D4" s="19" t="s">
        <v>99</v>
      </c>
    </row>
    <row r="5" spans="1:4">
      <c r="A5" s="29" t="s">
        <v>79</v>
      </c>
      <c r="B5" s="1" t="s">
        <v>80</v>
      </c>
      <c r="C5" s="3">
        <v>24.478778498064869</v>
      </c>
      <c r="D5" s="3"/>
    </row>
    <row r="6" spans="1:4">
      <c r="A6" s="30"/>
      <c r="B6" s="1" t="s">
        <v>81</v>
      </c>
      <c r="C6" s="3">
        <v>26.765639785854599</v>
      </c>
      <c r="D6" s="3"/>
    </row>
    <row r="7" spans="1:4">
      <c r="A7" s="30"/>
      <c r="B7" s="1" t="s">
        <v>82</v>
      </c>
      <c r="C7" s="3">
        <v>25.966278345974835</v>
      </c>
      <c r="D7" s="3">
        <v>25.736898876631432</v>
      </c>
    </row>
    <row r="8" spans="1:4">
      <c r="A8" s="30"/>
      <c r="B8" s="1" t="s">
        <v>83</v>
      </c>
      <c r="C8" s="3">
        <v>24.026699468166697</v>
      </c>
      <c r="D8" s="3">
        <v>25.586205866665377</v>
      </c>
    </row>
    <row r="9" spans="1:4">
      <c r="A9" s="30"/>
      <c r="B9" s="1" t="s">
        <v>84</v>
      </c>
      <c r="C9" s="3">
        <v>20.583518781740807</v>
      </c>
      <c r="D9" s="3">
        <v>23.525498865294111</v>
      </c>
    </row>
    <row r="10" spans="1:4">
      <c r="A10" s="30"/>
      <c r="B10" s="1" t="s">
        <v>85</v>
      </c>
      <c r="C10" s="3">
        <v>19.281876728721407</v>
      </c>
      <c r="D10" s="3">
        <v>21.297364992876304</v>
      </c>
    </row>
    <row r="11" spans="1:4">
      <c r="A11" s="30"/>
      <c r="B11" s="1" t="s">
        <v>86</v>
      </c>
      <c r="C11" s="3">
        <v>18.898478481909518</v>
      </c>
      <c r="D11" s="3">
        <v>19.587957997457242</v>
      </c>
    </row>
    <row r="12" spans="1:4">
      <c r="A12" s="30"/>
      <c r="B12" s="1" t="s">
        <v>87</v>
      </c>
      <c r="C12" s="3">
        <v>19.457383928170952</v>
      </c>
      <c r="D12" s="3">
        <v>19.212579712933959</v>
      </c>
    </row>
    <row r="13" spans="1:4">
      <c r="A13" s="30"/>
      <c r="B13" s="1" t="s">
        <v>53</v>
      </c>
      <c r="C13" s="3">
        <v>18.921017501576202</v>
      </c>
      <c r="D13" s="3">
        <v>19.092293303885558</v>
      </c>
    </row>
    <row r="14" spans="1:4">
      <c r="A14" s="30"/>
      <c r="B14" s="1" t="s">
        <v>54</v>
      </c>
      <c r="C14" s="3">
        <v>19.478503132411966</v>
      </c>
      <c r="D14" s="3">
        <v>19.28563485405304</v>
      </c>
    </row>
    <row r="15" spans="1:4">
      <c r="A15" s="30"/>
      <c r="B15" s="1" t="s">
        <v>55</v>
      </c>
      <c r="C15" s="3">
        <v>21.683482839799701</v>
      </c>
      <c r="D15" s="3">
        <v>20.027667824595955</v>
      </c>
    </row>
    <row r="16" spans="1:4">
      <c r="A16" s="30"/>
      <c r="B16" s="1" t="s">
        <v>56</v>
      </c>
      <c r="C16" s="3">
        <v>23.561712790929644</v>
      </c>
      <c r="D16" s="3">
        <v>21.574566254380439</v>
      </c>
    </row>
    <row r="17" spans="1:4">
      <c r="A17" s="30"/>
      <c r="B17" s="1" t="s">
        <v>57</v>
      </c>
      <c r="C17" s="3">
        <v>21.449134011843643</v>
      </c>
      <c r="D17" s="3">
        <v>22.231443214190993</v>
      </c>
    </row>
    <row r="18" spans="1:4">
      <c r="A18" s="30"/>
      <c r="B18" s="1" t="s">
        <v>58</v>
      </c>
      <c r="C18" s="3">
        <v>21.054036581486983</v>
      </c>
      <c r="D18" s="3">
        <v>22.021627794753424</v>
      </c>
    </row>
    <row r="19" spans="1:4">
      <c r="A19" s="31"/>
      <c r="B19" s="1" t="s">
        <v>74</v>
      </c>
      <c r="C19" s="3">
        <v>21.209362167393881</v>
      </c>
      <c r="D19" s="3">
        <v>21.237510920241501</v>
      </c>
    </row>
    <row r="20" spans="1:4">
      <c r="A20" s="36" t="s">
        <v>91</v>
      </c>
      <c r="B20" s="37"/>
      <c r="C20" s="37"/>
      <c r="D20" s="38"/>
    </row>
  </sheetData>
  <mergeCells count="3">
    <mergeCell ref="A20:D20"/>
    <mergeCell ref="A5:A19"/>
    <mergeCell ref="A3:D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C3F0-9A83-C346-9C2A-4B35DC5BFC03}">
  <dimension ref="A3:F8"/>
  <sheetViews>
    <sheetView workbookViewId="0">
      <selection activeCell="A8" sqref="A8:F8"/>
    </sheetView>
  </sheetViews>
  <sheetFormatPr baseColWidth="10" defaultRowHeight="14"/>
  <cols>
    <col min="1" max="1" width="23.1640625" style="6" customWidth="1"/>
    <col min="2" max="16384" width="10.83203125" style="6"/>
  </cols>
  <sheetData>
    <row r="3" spans="1:6" ht="36" customHeight="1">
      <c r="A3" s="7" t="s">
        <v>102</v>
      </c>
      <c r="B3" s="7"/>
      <c r="C3" s="7"/>
      <c r="D3" s="7"/>
      <c r="E3" s="7"/>
      <c r="F3" s="7"/>
    </row>
    <row r="4" spans="1:6">
      <c r="A4" s="4"/>
      <c r="B4" s="21" t="s">
        <v>57</v>
      </c>
      <c r="C4" s="21"/>
      <c r="D4" s="21" t="s">
        <v>58</v>
      </c>
      <c r="E4" s="21"/>
      <c r="F4" s="4" t="s">
        <v>74</v>
      </c>
    </row>
    <row r="5" spans="1:6">
      <c r="A5" s="4"/>
      <c r="B5" s="4" t="s">
        <v>79</v>
      </c>
      <c r="C5" s="4" t="s">
        <v>90</v>
      </c>
      <c r="D5" s="4" t="s">
        <v>79</v>
      </c>
      <c r="E5" s="4" t="s">
        <v>90</v>
      </c>
      <c r="F5" s="4" t="s">
        <v>79</v>
      </c>
    </row>
    <row r="6" spans="1:6" ht="30">
      <c r="A6" s="15" t="s">
        <v>101</v>
      </c>
      <c r="B6" s="3">
        <v>4.7705679417435976</v>
      </c>
      <c r="C6" s="3">
        <v>1.1748462841898677</v>
      </c>
      <c r="D6" s="3">
        <v>2.6758431005013961</v>
      </c>
      <c r="E6" s="3">
        <v>6.0454887489228115</v>
      </c>
      <c r="F6" s="3">
        <v>3.6449552599802315</v>
      </c>
    </row>
    <row r="7" spans="1:6">
      <c r="A7" s="1" t="s">
        <v>89</v>
      </c>
      <c r="B7" s="3">
        <v>4.5140878560462356</v>
      </c>
      <c r="C7" s="3">
        <v>4.5140878560462356</v>
      </c>
      <c r="D7" s="3">
        <v>4.5140878560462356</v>
      </c>
      <c r="E7" s="3">
        <v>4.5140878560462356</v>
      </c>
      <c r="F7" s="3">
        <v>4.5140878560462356</v>
      </c>
    </row>
    <row r="8" spans="1:6">
      <c r="A8" s="22" t="s">
        <v>91</v>
      </c>
      <c r="B8" s="22"/>
      <c r="C8" s="22"/>
      <c r="D8" s="22"/>
      <c r="E8" s="22"/>
      <c r="F8" s="22"/>
    </row>
  </sheetData>
  <mergeCells count="4">
    <mergeCell ref="B4:C4"/>
    <mergeCell ref="D4:E4"/>
    <mergeCell ref="A3:F3"/>
    <mergeCell ref="A8:F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68377-982B-2D43-8A9D-6F117793031A}">
  <dimension ref="A2:C16"/>
  <sheetViews>
    <sheetView workbookViewId="0">
      <selection activeCell="A16" sqref="A16:C16"/>
    </sheetView>
  </sheetViews>
  <sheetFormatPr baseColWidth="10" defaultRowHeight="14"/>
  <cols>
    <col min="1" max="16384" width="10.83203125" style="6"/>
  </cols>
  <sheetData>
    <row r="2" spans="1:3" ht="52" customHeight="1">
      <c r="A2" s="33" t="s">
        <v>105</v>
      </c>
      <c r="B2" s="34"/>
      <c r="C2" s="35"/>
    </row>
    <row r="3" spans="1:3">
      <c r="A3" s="1"/>
      <c r="B3" s="1" t="s">
        <v>103</v>
      </c>
      <c r="C3" s="1" t="s">
        <v>104</v>
      </c>
    </row>
    <row r="4" spans="1:3">
      <c r="A4" s="1" t="s">
        <v>81</v>
      </c>
      <c r="B4" s="32">
        <v>1.2778046308505875E-3</v>
      </c>
      <c r="C4" s="32">
        <v>5.2059975437931838E-2</v>
      </c>
    </row>
    <row r="5" spans="1:3">
      <c r="A5" s="1" t="s">
        <v>82</v>
      </c>
      <c r="B5" s="32">
        <v>5.4934019310015181E-2</v>
      </c>
      <c r="C5" s="32">
        <v>5.5703811252268531E-2</v>
      </c>
    </row>
    <row r="6" spans="1:3">
      <c r="A6" s="1" t="s">
        <v>83</v>
      </c>
      <c r="B6" s="32">
        <v>-3.8889082138840014E-2</v>
      </c>
      <c r="C6" s="32">
        <v>7.3966189713883246E-2</v>
      </c>
    </row>
    <row r="7" spans="1:3">
      <c r="A7" s="1" t="s">
        <v>84</v>
      </c>
      <c r="B7" s="32">
        <v>-3.0860885008374472E-2</v>
      </c>
      <c r="C7" s="32">
        <v>7.475496159549655E-2</v>
      </c>
    </row>
    <row r="8" spans="1:3">
      <c r="A8" s="1" t="s">
        <v>85</v>
      </c>
      <c r="B8" s="32">
        <v>5.3563799847255344E-2</v>
      </c>
      <c r="C8" s="32">
        <v>9.9931607556054347E-2</v>
      </c>
    </row>
    <row r="9" spans="1:3">
      <c r="A9" s="1" t="s">
        <v>86</v>
      </c>
      <c r="B9" s="32">
        <v>5.5014756358470862E-2</v>
      </c>
      <c r="C9" s="32">
        <v>7.855329179412962E-2</v>
      </c>
    </row>
    <row r="10" spans="1:3">
      <c r="A10" s="1" t="s">
        <v>87</v>
      </c>
      <c r="B10" s="32">
        <v>-2.5563196331991889E-2</v>
      </c>
      <c r="C10" s="32">
        <v>8.665608741940023E-2</v>
      </c>
    </row>
    <row r="11" spans="1:3">
      <c r="A11" s="1" t="s">
        <v>53</v>
      </c>
      <c r="B11" s="32">
        <v>5.7990778827032852E-2</v>
      </c>
      <c r="C11" s="32">
        <v>7.531656099229167E-2</v>
      </c>
    </row>
    <row r="12" spans="1:3">
      <c r="A12" s="1" t="s">
        <v>54</v>
      </c>
      <c r="B12" s="32">
        <v>2.449236951835676E-2</v>
      </c>
      <c r="C12" s="32">
        <v>6.2032201391061692E-2</v>
      </c>
    </row>
    <row r="13" spans="1:3">
      <c r="A13" s="1" t="s">
        <v>55</v>
      </c>
      <c r="B13" s="32">
        <v>3.2971338232094416E-2</v>
      </c>
      <c r="C13" s="32">
        <v>6.3888093052918427E-2</v>
      </c>
    </row>
    <row r="14" spans="1:3">
      <c r="A14" s="1" t="s">
        <v>56</v>
      </c>
      <c r="B14" s="32">
        <v>7.5993633156179907E-2</v>
      </c>
      <c r="C14" s="32">
        <v>4.9900609284782904E-2</v>
      </c>
    </row>
    <row r="15" spans="1:3">
      <c r="A15" s="1" t="s">
        <v>57</v>
      </c>
      <c r="B15" s="32">
        <v>8.6541749972477433E-3</v>
      </c>
      <c r="C15" s="32">
        <v>5.421831320229531E-2</v>
      </c>
    </row>
    <row r="16" spans="1:3">
      <c r="A16" s="16" t="s">
        <v>91</v>
      </c>
      <c r="B16" s="17"/>
      <c r="C16" s="18"/>
    </row>
  </sheetData>
  <mergeCells count="2">
    <mergeCell ref="A16:C16"/>
    <mergeCell ref="A2:C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3C34-E949-BC46-AF13-4B84679228E3}">
  <dimension ref="A2:D17"/>
  <sheetViews>
    <sheetView workbookViewId="0">
      <selection activeCell="A17" sqref="A17:D17"/>
    </sheetView>
  </sheetViews>
  <sheetFormatPr baseColWidth="10" defaultRowHeight="14"/>
  <cols>
    <col min="1" max="1" width="10.83203125" style="6"/>
    <col min="2" max="2" width="12" style="6" customWidth="1"/>
    <col min="3" max="16384" width="10.83203125" style="6"/>
  </cols>
  <sheetData>
    <row r="2" spans="1:4" ht="32" customHeight="1">
      <c r="A2" s="7" t="s">
        <v>106</v>
      </c>
      <c r="B2" s="7"/>
      <c r="C2" s="7"/>
      <c r="D2" s="7"/>
    </row>
    <row r="3" spans="1:4" ht="60">
      <c r="A3" s="19"/>
      <c r="B3" s="19" t="s">
        <v>107</v>
      </c>
      <c r="C3" s="19" t="s">
        <v>108</v>
      </c>
      <c r="D3" s="19" t="s">
        <v>47</v>
      </c>
    </row>
    <row r="4" spans="1:4">
      <c r="A4" s="1" t="s">
        <v>81</v>
      </c>
      <c r="B4" s="3">
        <v>109.89434336373327</v>
      </c>
      <c r="C4" s="3">
        <v>105.78150405179021</v>
      </c>
      <c r="D4" s="3">
        <v>107.05381882678</v>
      </c>
    </row>
    <row r="5" spans="1:4">
      <c r="A5" s="1" t="s">
        <v>82</v>
      </c>
      <c r="B5" s="3">
        <v>119.71003619514005</v>
      </c>
      <c r="C5" s="3">
        <v>109.78673620552453</v>
      </c>
      <c r="D5" s="3">
        <v>113.29616807272708</v>
      </c>
    </row>
    <row r="6" spans="1:4">
      <c r="A6" s="1" t="s">
        <v>83</v>
      </c>
      <c r="B6" s="3">
        <v>130.38498590704927</v>
      </c>
      <c r="C6" s="3">
        <v>111.54624729649021</v>
      </c>
      <c r="D6" s="3">
        <v>117.26731973854072</v>
      </c>
    </row>
    <row r="7" spans="1:4">
      <c r="A7" s="1" t="s">
        <v>84</v>
      </c>
      <c r="B7" s="3">
        <v>137.82993308473146</v>
      </c>
      <c r="C7" s="3">
        <v>112.72890534725246</v>
      </c>
      <c r="D7" s="3">
        <v>118.26446630078273</v>
      </c>
    </row>
    <row r="8" spans="1:4">
      <c r="A8" s="1" t="s">
        <v>85</v>
      </c>
      <c r="B8" s="3">
        <v>145.92442645687544</v>
      </c>
      <c r="C8" s="3">
        <v>113.57610723089375</v>
      </c>
      <c r="D8" s="3">
        <v>121.77350457020128</v>
      </c>
    </row>
    <row r="9" spans="1:4">
      <c r="A9" s="1" t="s">
        <v>86</v>
      </c>
      <c r="B9" s="3">
        <v>153.79296954019625</v>
      </c>
      <c r="C9" s="3">
        <v>116.16688298636961</v>
      </c>
      <c r="D9" s="3">
        <v>126.93646308814337</v>
      </c>
    </row>
    <row r="10" spans="1:4">
      <c r="A10" s="1" t="s">
        <v>87</v>
      </c>
      <c r="B10" s="3">
        <v>161.28647434863004</v>
      </c>
      <c r="C10" s="3">
        <v>120.76296140146306</v>
      </c>
      <c r="D10" s="3">
        <v>133.07353930274687</v>
      </c>
    </row>
    <row r="11" spans="1:4">
      <c r="A11" s="1" t="s">
        <v>53</v>
      </c>
      <c r="B11" s="3">
        <v>168.90275426243571</v>
      </c>
      <c r="C11" s="3">
        <v>119.71032110955552</v>
      </c>
      <c r="D11" s="3">
        <v>137.53966041215023</v>
      </c>
    </row>
    <row r="12" spans="1:4">
      <c r="A12" s="1" t="s">
        <v>54</v>
      </c>
      <c r="B12" s="3">
        <v>178.69285627398867</v>
      </c>
      <c r="C12" s="3">
        <v>120.36504968331887</v>
      </c>
      <c r="D12" s="3">
        <v>141.84167210508204</v>
      </c>
    </row>
    <row r="13" spans="1:4">
      <c r="A13" s="1" t="s">
        <v>55</v>
      </c>
      <c r="B13" s="3">
        <v>188.90651825084274</v>
      </c>
      <c r="C13" s="3">
        <v>132.47016524283745</v>
      </c>
      <c r="D13" s="3">
        <v>154.14080452737323</v>
      </c>
    </row>
    <row r="14" spans="1:4">
      <c r="A14" s="1" t="s">
        <v>56</v>
      </c>
      <c r="B14" s="3">
        <v>192.94777183788702</v>
      </c>
      <c r="C14" s="3">
        <v>140.47518529888441</v>
      </c>
      <c r="D14" s="3">
        <v>165.45877958086584</v>
      </c>
    </row>
    <row r="15" spans="1:4">
      <c r="A15" s="1" t="s">
        <v>57</v>
      </c>
      <c r="B15" s="3">
        <v>206.05310165893243</v>
      </c>
      <c r="C15" s="3">
        <v>138.77160805783348</v>
      </c>
      <c r="D15" s="3">
        <v>169.31839966135681</v>
      </c>
    </row>
    <row r="16" spans="1:4">
      <c r="A16" s="1" t="s">
        <v>58</v>
      </c>
      <c r="B16" s="3">
        <v>217.42894575874968</v>
      </c>
      <c r="C16" s="3">
        <v>141.16172311721746</v>
      </c>
      <c r="D16" s="3">
        <v>174.69942895155251</v>
      </c>
    </row>
    <row r="17" spans="1:4">
      <c r="A17" s="22" t="s">
        <v>91</v>
      </c>
      <c r="B17" s="22"/>
      <c r="C17" s="22"/>
      <c r="D17" s="22"/>
    </row>
  </sheetData>
  <mergeCells count="2">
    <mergeCell ref="A2:D2"/>
    <mergeCell ref="A17:D1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8A10-61BA-8843-980E-6D2BF8EBFC42}">
  <dimension ref="A3:C19"/>
  <sheetViews>
    <sheetView workbookViewId="0">
      <selection activeCell="A19" sqref="A19:C19"/>
    </sheetView>
  </sheetViews>
  <sheetFormatPr baseColWidth="10" defaultRowHeight="14"/>
  <cols>
    <col min="1" max="2" width="10.83203125" style="6"/>
    <col min="3" max="3" width="13.1640625" style="6" customWidth="1"/>
    <col min="4" max="16384" width="10.83203125" style="6"/>
  </cols>
  <sheetData>
    <row r="3" spans="1:3" ht="37" customHeight="1">
      <c r="A3" s="7" t="s">
        <v>111</v>
      </c>
      <c r="B3" s="7"/>
      <c r="C3" s="7"/>
    </row>
    <row r="4" spans="1:3" ht="75">
      <c r="A4" s="4"/>
      <c r="B4" s="19" t="s">
        <v>109</v>
      </c>
      <c r="C4" s="19" t="s">
        <v>110</v>
      </c>
    </row>
    <row r="5" spans="1:3">
      <c r="A5" s="1" t="s">
        <v>80</v>
      </c>
      <c r="B5" s="3">
        <v>17.392314838784685</v>
      </c>
      <c r="C5" s="3">
        <v>16.139337444686248</v>
      </c>
    </row>
    <row r="6" spans="1:3">
      <c r="A6" s="1" t="s">
        <v>81</v>
      </c>
      <c r="B6" s="3">
        <v>17.397909375009835</v>
      </c>
      <c r="C6" s="3">
        <v>15.816923007171038</v>
      </c>
    </row>
    <row r="7" spans="1:3">
      <c r="A7" s="1" t="s">
        <v>82</v>
      </c>
      <c r="B7" s="3">
        <v>17.21943538336178</v>
      </c>
      <c r="C7" s="3">
        <v>15.253022692763818</v>
      </c>
    </row>
    <row r="8" spans="1:3">
      <c r="A8" s="1" t="s">
        <v>83</v>
      </c>
      <c r="B8" s="3">
        <v>17.338493930089829</v>
      </c>
      <c r="C8" s="3">
        <v>15.065570111086343</v>
      </c>
    </row>
    <row r="9" spans="1:3">
      <c r="A9" s="1" t="s">
        <v>84</v>
      </c>
      <c r="B9" s="3">
        <v>18.145950381581656</v>
      </c>
      <c r="C9" s="3">
        <v>15.583854586353112</v>
      </c>
    </row>
    <row r="10" spans="1:3">
      <c r="A10" s="1" t="s">
        <v>85</v>
      </c>
      <c r="B10" s="3">
        <v>18.138353795132517</v>
      </c>
      <c r="C10" s="3">
        <v>15.162237133144835</v>
      </c>
    </row>
    <row r="11" spans="1:3">
      <c r="A11" s="1" t="s">
        <v>86</v>
      </c>
      <c r="B11" s="3">
        <v>18.35961822742026</v>
      </c>
      <c r="C11" s="3">
        <v>15.018238750146228</v>
      </c>
    </row>
    <row r="12" spans="1:3">
      <c r="A12" s="1" t="s">
        <v>87</v>
      </c>
      <c r="B12" s="3">
        <v>18.289847581845201</v>
      </c>
      <c r="C12" s="3">
        <v>14.881530667450896</v>
      </c>
    </row>
    <row r="13" spans="1:3">
      <c r="A13" s="1" t="s">
        <v>53</v>
      </c>
      <c r="B13" s="3">
        <v>17.072290767116815</v>
      </c>
      <c r="C13" s="3">
        <v>13.455807563557407</v>
      </c>
    </row>
    <row r="14" spans="1:3">
      <c r="A14" s="1" t="s">
        <v>54</v>
      </c>
      <c r="B14" s="3">
        <v>18.358137062314409</v>
      </c>
      <c r="C14" s="3">
        <v>14.120485357616305</v>
      </c>
    </row>
    <row r="15" spans="1:3">
      <c r="A15" s="1" t="s">
        <v>55</v>
      </c>
      <c r="B15" s="3">
        <v>18.455448818789847</v>
      </c>
      <c r="C15" s="3">
        <v>14.377028853032922</v>
      </c>
    </row>
    <row r="16" spans="1:3">
      <c r="A16" s="1" t="s">
        <v>56</v>
      </c>
      <c r="B16" s="3">
        <v>16.913287274064512</v>
      </c>
      <c r="C16" s="3">
        <v>13.145423551238183</v>
      </c>
    </row>
    <row r="17" spans="1:3">
      <c r="A17" s="1" t="s">
        <v>57</v>
      </c>
      <c r="B17" s="3">
        <v>17.496451852306535</v>
      </c>
      <c r="C17" s="3">
        <v>13.018629001328167</v>
      </c>
    </row>
    <row r="18" spans="1:3">
      <c r="A18" s="1" t="s">
        <v>58</v>
      </c>
      <c r="B18" s="3">
        <v>17.184909264587652</v>
      </c>
      <c r="C18" s="3">
        <v>12.60856634080926</v>
      </c>
    </row>
    <row r="19" spans="1:3">
      <c r="A19" s="22" t="s">
        <v>112</v>
      </c>
      <c r="B19" s="22"/>
      <c r="C19" s="22"/>
    </row>
  </sheetData>
  <mergeCells count="2">
    <mergeCell ref="A3:C3"/>
    <mergeCell ref="A19:C1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3F73-44F0-F94F-B01E-980D83FAF14C}">
  <dimension ref="A3:D10"/>
  <sheetViews>
    <sheetView workbookViewId="0">
      <selection activeCell="A10" sqref="A10:D10"/>
    </sheetView>
  </sheetViews>
  <sheetFormatPr baseColWidth="10" defaultRowHeight="14"/>
  <cols>
    <col min="1" max="1" width="27.5" style="6" customWidth="1"/>
    <col min="2" max="2" width="14.1640625" style="6" customWidth="1"/>
    <col min="3" max="16384" width="10.83203125" style="6"/>
  </cols>
  <sheetData>
    <row r="3" spans="1:4" ht="37" customHeight="1">
      <c r="A3" s="7" t="s">
        <v>113</v>
      </c>
      <c r="B3" s="7"/>
      <c r="C3" s="7"/>
      <c r="D3" s="7"/>
    </row>
    <row r="4" spans="1:4">
      <c r="A4" s="4"/>
      <c r="B4" s="4" t="s">
        <v>114</v>
      </c>
      <c r="C4" s="4" t="s">
        <v>115</v>
      </c>
      <c r="D4" s="4" t="s">
        <v>116</v>
      </c>
    </row>
    <row r="5" spans="1:4">
      <c r="A5" s="1" t="s">
        <v>46</v>
      </c>
      <c r="B5" s="3">
        <v>5.1660253501881996</v>
      </c>
      <c r="C5" s="3">
        <v>6.0874114239665378</v>
      </c>
      <c r="D5" s="3">
        <v>6.9962983133078138</v>
      </c>
    </row>
    <row r="6" spans="1:4">
      <c r="A6" s="1" t="s">
        <v>117</v>
      </c>
      <c r="B6" s="3">
        <v>1.301802922735358</v>
      </c>
      <c r="C6" s="3">
        <v>3.5602793847833158</v>
      </c>
      <c r="D6" s="3">
        <v>-1.8328976048207268</v>
      </c>
    </row>
    <row r="7" spans="1:4">
      <c r="A7" s="1" t="s">
        <v>118</v>
      </c>
      <c r="B7" s="3">
        <v>6.0145032363560542</v>
      </c>
      <c r="C7" s="3">
        <v>4.7800645694366262</v>
      </c>
      <c r="D7" s="3">
        <v>8.4349382035362694</v>
      </c>
    </row>
    <row r="8" spans="1:4" ht="30">
      <c r="A8" s="15" t="s">
        <v>119</v>
      </c>
      <c r="B8" s="3">
        <v>7.6898717724717214</v>
      </c>
      <c r="C8" s="3">
        <v>6.4871264729715161</v>
      </c>
      <c r="D8" s="3">
        <v>2.4109102515097236</v>
      </c>
    </row>
    <row r="9" spans="1:4">
      <c r="A9" s="1" t="s">
        <v>120</v>
      </c>
      <c r="B9" s="3">
        <v>3.9709900319517155</v>
      </c>
      <c r="C9" s="3">
        <v>9.2512904014664166</v>
      </c>
      <c r="D9" s="3">
        <v>7.3764498250961319</v>
      </c>
    </row>
    <row r="10" spans="1:4">
      <c r="A10" s="22" t="s">
        <v>91</v>
      </c>
      <c r="B10" s="22"/>
      <c r="C10" s="22"/>
      <c r="D10" s="22"/>
    </row>
  </sheetData>
  <mergeCells count="2">
    <mergeCell ref="A3:D3"/>
    <mergeCell ref="A10:D10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0A46-98C6-1D42-936C-8C94B237DE11}">
  <dimension ref="A2:D8"/>
  <sheetViews>
    <sheetView workbookViewId="0">
      <selection activeCell="H17" sqref="H17"/>
    </sheetView>
  </sheetViews>
  <sheetFormatPr baseColWidth="10" defaultRowHeight="14"/>
  <cols>
    <col min="1" max="1" width="22" style="6" customWidth="1"/>
    <col min="2" max="2" width="13" style="6" customWidth="1"/>
    <col min="3" max="16384" width="10.83203125" style="6"/>
  </cols>
  <sheetData>
    <row r="2" spans="1:4" ht="43" customHeight="1">
      <c r="A2" s="7" t="s">
        <v>160</v>
      </c>
      <c r="B2" s="7"/>
      <c r="C2" s="7"/>
      <c r="D2" s="7"/>
    </row>
    <row r="3" spans="1:4" ht="30">
      <c r="A3" s="19"/>
      <c r="B3" s="19" t="s">
        <v>114</v>
      </c>
      <c r="C3" s="19" t="s">
        <v>115</v>
      </c>
      <c r="D3" s="19" t="s">
        <v>116</v>
      </c>
    </row>
    <row r="4" spans="1:4" ht="15">
      <c r="A4" s="15" t="s">
        <v>47</v>
      </c>
      <c r="B4" s="40">
        <v>7.9070558737117711</v>
      </c>
      <c r="C4" s="40">
        <v>7.0136222193686537</v>
      </c>
      <c r="D4" s="40">
        <v>9.2527097162608882</v>
      </c>
    </row>
    <row r="5" spans="1:4" ht="75">
      <c r="A5" s="15" t="s">
        <v>121</v>
      </c>
      <c r="B5" s="40">
        <v>8.47767569610685</v>
      </c>
      <c r="C5" s="40">
        <v>5.7681171785750163</v>
      </c>
      <c r="D5" s="40">
        <v>7.9654122598524113</v>
      </c>
    </row>
    <row r="6" spans="1:4" ht="30">
      <c r="A6" s="15" t="s">
        <v>122</v>
      </c>
      <c r="B6" s="40">
        <v>7.9482398487866393</v>
      </c>
      <c r="C6" s="40">
        <v>6.9353533159972836</v>
      </c>
      <c r="D6" s="40">
        <v>9.8577603105675315</v>
      </c>
    </row>
    <row r="7" spans="1:4" ht="45">
      <c r="A7" s="15" t="s">
        <v>123</v>
      </c>
      <c r="B7" s="40">
        <v>7.1047531772039907</v>
      </c>
      <c r="C7" s="40">
        <v>8.9355278090961665</v>
      </c>
      <c r="D7" s="40">
        <v>9.7263752376896662</v>
      </c>
    </row>
    <row r="8" spans="1:4">
      <c r="A8" s="22" t="s">
        <v>91</v>
      </c>
      <c r="B8" s="22"/>
      <c r="C8" s="22"/>
      <c r="D8" s="22"/>
    </row>
  </sheetData>
  <mergeCells count="2">
    <mergeCell ref="A2:D2"/>
    <mergeCell ref="A8:D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661D-910D-429E-B965-788EEC010EDD}">
  <dimension ref="A1:F39"/>
  <sheetViews>
    <sheetView workbookViewId="0">
      <selection activeCell="I7" sqref="I7"/>
    </sheetView>
  </sheetViews>
  <sheetFormatPr baseColWidth="10" defaultColWidth="8.83203125" defaultRowHeight="14"/>
  <cols>
    <col min="1" max="16384" width="8.83203125" style="6"/>
  </cols>
  <sheetData>
    <row r="1" spans="1:6">
      <c r="A1" s="1"/>
      <c r="B1" s="21" t="s">
        <v>155</v>
      </c>
      <c r="C1" s="21"/>
      <c r="D1" s="21"/>
      <c r="E1" s="21"/>
      <c r="F1" s="21"/>
    </row>
    <row r="2" spans="1:6">
      <c r="A2" s="1"/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</row>
    <row r="3" spans="1:6">
      <c r="A3" s="8">
        <v>44927</v>
      </c>
      <c r="B3" s="1">
        <v>3.65</v>
      </c>
      <c r="C3" s="1">
        <v>5.75</v>
      </c>
      <c r="D3" s="1">
        <v>6.25</v>
      </c>
      <c r="E3" s="1">
        <v>3.5</v>
      </c>
      <c r="F3" s="1">
        <v>10.5</v>
      </c>
    </row>
    <row r="4" spans="1:6">
      <c r="A4" s="8">
        <v>44958</v>
      </c>
      <c r="B4" s="1">
        <v>3.65</v>
      </c>
      <c r="C4" s="1">
        <v>5.75</v>
      </c>
      <c r="D4" s="1">
        <v>6.5</v>
      </c>
      <c r="E4" s="1">
        <v>3.5</v>
      </c>
      <c r="F4" s="1">
        <v>11</v>
      </c>
    </row>
    <row r="5" spans="1:6">
      <c r="A5" s="8">
        <v>44986</v>
      </c>
      <c r="B5" s="1">
        <v>3.65</v>
      </c>
      <c r="C5" s="1">
        <v>5.75</v>
      </c>
      <c r="D5" s="1">
        <v>6.5</v>
      </c>
      <c r="E5" s="1">
        <v>3.5</v>
      </c>
      <c r="F5" s="1">
        <v>11.25</v>
      </c>
    </row>
    <row r="6" spans="1:6">
      <c r="A6" s="8">
        <v>45017</v>
      </c>
      <c r="B6" s="1">
        <v>3.65</v>
      </c>
      <c r="C6" s="1">
        <v>5.75</v>
      </c>
      <c r="D6" s="1">
        <v>6.5</v>
      </c>
      <c r="E6" s="1">
        <v>3.5</v>
      </c>
      <c r="F6" s="1">
        <v>11.25</v>
      </c>
    </row>
    <row r="7" spans="1:6">
      <c r="A7" s="8">
        <v>45047</v>
      </c>
      <c r="B7" s="1">
        <v>3.65</v>
      </c>
      <c r="C7" s="1">
        <v>5.75</v>
      </c>
      <c r="D7" s="1">
        <v>6.5</v>
      </c>
      <c r="E7" s="1">
        <v>3.5</v>
      </c>
      <c r="F7" s="1">
        <v>11.25</v>
      </c>
    </row>
    <row r="8" spans="1:6">
      <c r="A8" s="8">
        <v>45078</v>
      </c>
      <c r="B8" s="1">
        <v>3.55</v>
      </c>
      <c r="C8" s="1">
        <v>5.75</v>
      </c>
      <c r="D8" s="1">
        <v>6.5</v>
      </c>
      <c r="E8" s="1">
        <v>3.5</v>
      </c>
      <c r="F8" s="1">
        <v>11.25</v>
      </c>
    </row>
    <row r="9" spans="1:6">
      <c r="A9" s="8">
        <v>45108</v>
      </c>
      <c r="B9" s="1">
        <v>3.55</v>
      </c>
      <c r="C9" s="1">
        <v>5.75</v>
      </c>
      <c r="D9" s="1">
        <v>6.5</v>
      </c>
      <c r="E9" s="1">
        <v>3.5</v>
      </c>
      <c r="F9" s="1">
        <v>11.25</v>
      </c>
    </row>
    <row r="10" spans="1:6">
      <c r="A10" s="8">
        <v>45139</v>
      </c>
      <c r="B10" s="1">
        <v>3.45</v>
      </c>
      <c r="C10" s="1">
        <v>5.75</v>
      </c>
      <c r="D10" s="1">
        <v>6.5</v>
      </c>
      <c r="E10" s="1">
        <v>3.5</v>
      </c>
      <c r="F10" s="1">
        <v>11.25</v>
      </c>
    </row>
    <row r="11" spans="1:6">
      <c r="A11" s="8">
        <v>45170</v>
      </c>
      <c r="B11" s="1">
        <v>3.45</v>
      </c>
      <c r="C11" s="1">
        <v>5.75</v>
      </c>
      <c r="D11" s="1">
        <v>6.5</v>
      </c>
      <c r="E11" s="1">
        <v>3.5</v>
      </c>
      <c r="F11" s="1">
        <v>11.25</v>
      </c>
    </row>
    <row r="12" spans="1:6">
      <c r="A12" s="8">
        <v>45200</v>
      </c>
      <c r="B12" s="1">
        <v>3.45</v>
      </c>
      <c r="C12" s="1">
        <v>6</v>
      </c>
      <c r="D12" s="1">
        <v>6.5</v>
      </c>
      <c r="E12" s="1">
        <v>3.5</v>
      </c>
      <c r="F12" s="1">
        <v>11.25</v>
      </c>
    </row>
    <row r="13" spans="1:6">
      <c r="A13" s="8">
        <v>45231</v>
      </c>
      <c r="B13" s="1">
        <v>3.45</v>
      </c>
      <c r="C13" s="1">
        <v>6</v>
      </c>
      <c r="D13" s="1">
        <v>6.5</v>
      </c>
      <c r="E13" s="1">
        <v>3.5</v>
      </c>
      <c r="F13" s="1">
        <v>11.25</v>
      </c>
    </row>
    <row r="14" spans="1:6">
      <c r="A14" s="8">
        <v>45261</v>
      </c>
      <c r="B14" s="1">
        <v>3.45</v>
      </c>
      <c r="C14" s="1">
        <v>6</v>
      </c>
      <c r="D14" s="1">
        <v>6.5</v>
      </c>
      <c r="E14" s="1">
        <v>3.5</v>
      </c>
      <c r="F14" s="1">
        <v>11.25</v>
      </c>
    </row>
    <row r="15" spans="1:6">
      <c r="A15" s="8">
        <v>45292</v>
      </c>
      <c r="B15" s="1">
        <v>3.45</v>
      </c>
      <c r="C15" s="1">
        <v>6</v>
      </c>
      <c r="D15" s="1">
        <v>6.5</v>
      </c>
      <c r="E15" s="1">
        <v>3.5</v>
      </c>
      <c r="F15" s="1">
        <v>11.25</v>
      </c>
    </row>
    <row r="16" spans="1:6">
      <c r="A16" s="8">
        <v>45323</v>
      </c>
      <c r="B16" s="1">
        <v>3.45</v>
      </c>
      <c r="C16" s="1">
        <v>6</v>
      </c>
      <c r="D16" s="1">
        <v>6.5</v>
      </c>
      <c r="E16" s="1">
        <v>3.5</v>
      </c>
      <c r="F16" s="1">
        <v>11.25</v>
      </c>
    </row>
    <row r="17" spans="1:6">
      <c r="A17" s="8">
        <v>45352</v>
      </c>
      <c r="B17" s="1">
        <v>3.45</v>
      </c>
      <c r="C17" s="1">
        <v>6</v>
      </c>
      <c r="D17" s="1">
        <v>6.5</v>
      </c>
      <c r="E17" s="1">
        <v>3.5</v>
      </c>
      <c r="F17" s="1">
        <v>11</v>
      </c>
    </row>
    <row r="18" spans="1:6">
      <c r="A18" s="8">
        <v>45383</v>
      </c>
      <c r="B18" s="1">
        <v>3.45</v>
      </c>
      <c r="C18" s="1">
        <v>6.25</v>
      </c>
      <c r="D18" s="1">
        <v>6.5</v>
      </c>
      <c r="E18" s="1">
        <v>3.5</v>
      </c>
      <c r="F18" s="1">
        <v>11</v>
      </c>
    </row>
    <row r="19" spans="1:6">
      <c r="A19" s="8">
        <v>45413</v>
      </c>
      <c r="B19" s="1">
        <v>3.45</v>
      </c>
      <c r="C19" s="1">
        <v>6.25</v>
      </c>
      <c r="D19" s="1">
        <v>6.5</v>
      </c>
      <c r="E19" s="1">
        <v>3.5</v>
      </c>
      <c r="F19" s="1">
        <v>11</v>
      </c>
    </row>
    <row r="20" spans="1:6">
      <c r="A20" s="8">
        <v>45444</v>
      </c>
      <c r="B20" s="1">
        <v>3.45</v>
      </c>
      <c r="C20" s="1">
        <v>6.25</v>
      </c>
      <c r="D20" s="1">
        <v>6.5</v>
      </c>
      <c r="E20" s="1">
        <v>3.5</v>
      </c>
      <c r="F20" s="1">
        <v>11</v>
      </c>
    </row>
    <row r="21" spans="1:6">
      <c r="A21" s="8">
        <v>45474</v>
      </c>
      <c r="B21" s="1">
        <v>3.35</v>
      </c>
      <c r="C21" s="1">
        <v>6.25</v>
      </c>
      <c r="D21" s="1">
        <v>6.5</v>
      </c>
      <c r="E21" s="1">
        <v>3.5</v>
      </c>
      <c r="F21" s="1">
        <v>11</v>
      </c>
    </row>
    <row r="22" spans="1:6">
      <c r="A22" s="8">
        <v>45505</v>
      </c>
      <c r="B22" s="1">
        <v>3.35</v>
      </c>
      <c r="C22" s="1">
        <v>6.25</v>
      </c>
      <c r="D22" s="1">
        <v>6.5</v>
      </c>
      <c r="E22" s="1">
        <v>3.5</v>
      </c>
      <c r="F22" s="1">
        <v>10.75</v>
      </c>
    </row>
    <row r="23" spans="1:6">
      <c r="A23" s="8">
        <v>45536</v>
      </c>
      <c r="B23" s="1">
        <v>3.35</v>
      </c>
      <c r="C23" s="1">
        <v>6</v>
      </c>
      <c r="D23" s="1">
        <v>6.5</v>
      </c>
      <c r="E23" s="1">
        <v>3.5</v>
      </c>
      <c r="F23" s="1">
        <v>10.5</v>
      </c>
    </row>
    <row r="24" spans="1:6">
      <c r="A24" s="8">
        <v>45566</v>
      </c>
      <c r="B24" s="1">
        <v>3.1</v>
      </c>
      <c r="C24" s="1">
        <v>6</v>
      </c>
      <c r="D24" s="1">
        <v>6.5</v>
      </c>
      <c r="E24" s="1">
        <v>3.25</v>
      </c>
      <c r="F24" s="1">
        <v>10.5</v>
      </c>
    </row>
    <row r="25" spans="1:6">
      <c r="A25" s="8">
        <v>45597</v>
      </c>
      <c r="B25" s="1">
        <v>3.1</v>
      </c>
      <c r="C25" s="1">
        <v>6</v>
      </c>
      <c r="D25" s="1">
        <v>6.5</v>
      </c>
      <c r="E25" s="1">
        <v>3</v>
      </c>
      <c r="F25" s="1">
        <v>10.25</v>
      </c>
    </row>
    <row r="26" spans="1:6">
      <c r="A26" s="8">
        <v>45627</v>
      </c>
      <c r="B26" s="1">
        <v>3.1</v>
      </c>
      <c r="C26" s="1">
        <v>6</v>
      </c>
      <c r="D26" s="1">
        <v>6.5</v>
      </c>
      <c r="E26" s="1">
        <v>3</v>
      </c>
      <c r="F26" s="1">
        <v>10</v>
      </c>
    </row>
    <row r="27" spans="1:6">
      <c r="A27" s="8">
        <v>45658</v>
      </c>
      <c r="B27" s="1">
        <v>3.1</v>
      </c>
      <c r="C27" s="1">
        <v>5.75</v>
      </c>
      <c r="D27" s="1">
        <v>6.5</v>
      </c>
      <c r="E27" s="1">
        <v>3</v>
      </c>
      <c r="F27" s="1">
        <v>10</v>
      </c>
    </row>
    <row r="28" spans="1:6">
      <c r="A28" s="8">
        <v>45689</v>
      </c>
      <c r="B28" s="1">
        <v>3.1</v>
      </c>
      <c r="C28" s="1">
        <v>5.75</v>
      </c>
      <c r="D28" s="1">
        <v>6.25</v>
      </c>
      <c r="E28" s="1">
        <v>2.75</v>
      </c>
      <c r="F28" s="1">
        <v>9.5</v>
      </c>
    </row>
    <row r="29" spans="1:6">
      <c r="A29" s="8">
        <v>45717</v>
      </c>
      <c r="B29" s="1">
        <v>3.1</v>
      </c>
      <c r="C29" s="1">
        <v>5.75</v>
      </c>
      <c r="D29" s="1">
        <v>6.25</v>
      </c>
      <c r="E29" s="1">
        <v>2.75</v>
      </c>
      <c r="F29" s="1">
        <v>9</v>
      </c>
    </row>
    <row r="30" spans="1:6">
      <c r="A30" s="8">
        <v>45748</v>
      </c>
      <c r="B30" s="1">
        <v>3.1</v>
      </c>
      <c r="C30" s="1">
        <v>5.75</v>
      </c>
      <c r="D30" s="1">
        <v>6</v>
      </c>
      <c r="E30" s="1">
        <v>2.75</v>
      </c>
      <c r="F30" s="1">
        <v>9</v>
      </c>
    </row>
    <row r="31" spans="1:6">
      <c r="A31" s="8">
        <v>45778</v>
      </c>
      <c r="B31" s="1">
        <v>3</v>
      </c>
      <c r="C31" s="1">
        <v>5.5</v>
      </c>
      <c r="D31" s="1">
        <v>6</v>
      </c>
      <c r="E31" s="1">
        <v>2.5</v>
      </c>
      <c r="F31" s="1">
        <v>8.5</v>
      </c>
    </row>
    <row r="32" spans="1:6">
      <c r="A32" s="8">
        <v>45809</v>
      </c>
      <c r="B32" s="1">
        <v>3</v>
      </c>
      <c r="C32" s="1">
        <v>5.5</v>
      </c>
      <c r="D32" s="1">
        <v>5.5</v>
      </c>
      <c r="E32" s="1">
        <v>2.5</v>
      </c>
      <c r="F32" s="1">
        <v>8</v>
      </c>
    </row>
    <row r="33" spans="1:6">
      <c r="A33" s="8">
        <v>45839</v>
      </c>
      <c r="B33" s="1">
        <v>3</v>
      </c>
      <c r="C33" s="1">
        <v>5.25</v>
      </c>
      <c r="D33" s="1">
        <v>5.5</v>
      </c>
      <c r="E33" s="1">
        <v>2.5</v>
      </c>
      <c r="F33" s="1">
        <v>8</v>
      </c>
    </row>
    <row r="34" spans="1:6">
      <c r="A34" s="8">
        <v>45870</v>
      </c>
      <c r="B34" s="1">
        <v>3</v>
      </c>
      <c r="C34" s="1">
        <v>5</v>
      </c>
      <c r="D34" s="1">
        <v>5.5</v>
      </c>
      <c r="E34" s="1">
        <v>2.5</v>
      </c>
      <c r="F34" s="1">
        <v>7.75</v>
      </c>
    </row>
    <row r="35" spans="1:6">
      <c r="A35" s="8">
        <v>45901</v>
      </c>
      <c r="B35" s="1">
        <v>3</v>
      </c>
      <c r="C35" s="1">
        <v>4.75</v>
      </c>
      <c r="D35" s="1">
        <v>5.5</v>
      </c>
      <c r="E35" s="1">
        <v>2.5</v>
      </c>
      <c r="F35" s="1">
        <v>7.5</v>
      </c>
    </row>
    <row r="36" spans="1:6">
      <c r="A36" s="8">
        <v>45931</v>
      </c>
      <c r="B36" s="1">
        <v>3</v>
      </c>
      <c r="C36" s="1">
        <v>4.75</v>
      </c>
      <c r="D36" s="1">
        <v>5.5</v>
      </c>
      <c r="E36" s="1">
        <v>2.5</v>
      </c>
      <c r="F36" s="1">
        <v>7.5</v>
      </c>
    </row>
    <row r="37" spans="1:6">
      <c r="A37" s="8">
        <v>45962</v>
      </c>
      <c r="B37" s="1">
        <v>3</v>
      </c>
      <c r="C37" s="1">
        <v>4.75</v>
      </c>
      <c r="D37" s="1">
        <v>5.5</v>
      </c>
      <c r="E37" s="1">
        <v>2.5</v>
      </c>
      <c r="F37" s="1">
        <v>7.25</v>
      </c>
    </row>
    <row r="38" spans="1:6">
      <c r="A38" s="8">
        <v>45992</v>
      </c>
      <c r="B38" s="1">
        <v>3</v>
      </c>
      <c r="C38" s="1">
        <v>4.75</v>
      </c>
      <c r="D38" s="1">
        <v>5.25</v>
      </c>
      <c r="E38" s="1">
        <v>2.5</v>
      </c>
      <c r="F38" s="1">
        <v>7</v>
      </c>
    </row>
    <row r="39" spans="1:6" ht="42" customHeight="1">
      <c r="A39" s="39" t="s">
        <v>16</v>
      </c>
      <c r="B39" s="39"/>
      <c r="C39" s="39"/>
      <c r="D39" s="39"/>
      <c r="E39" s="39"/>
      <c r="F39" s="39"/>
    </row>
  </sheetData>
  <mergeCells count="2">
    <mergeCell ref="B1:F1"/>
    <mergeCell ref="A39:F39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32C6-590E-FF46-877E-92F892432A44}">
  <dimension ref="A2:E8"/>
  <sheetViews>
    <sheetView workbookViewId="0">
      <selection activeCell="F14" sqref="F14"/>
    </sheetView>
  </sheetViews>
  <sheetFormatPr baseColWidth="10" defaultRowHeight="14"/>
  <cols>
    <col min="1" max="1" width="16.83203125" style="6" customWidth="1"/>
    <col min="2" max="4" width="10.83203125" style="6"/>
    <col min="5" max="5" width="16.33203125" style="6" customWidth="1"/>
    <col min="6" max="16384" width="10.83203125" style="6"/>
  </cols>
  <sheetData>
    <row r="2" spans="1:5">
      <c r="A2" s="21" t="s">
        <v>124</v>
      </c>
      <c r="B2" s="21"/>
      <c r="C2" s="21"/>
      <c r="D2" s="21"/>
      <c r="E2" s="21"/>
    </row>
    <row r="3" spans="1:5">
      <c r="A3" s="4"/>
      <c r="B3" s="4" t="s">
        <v>56</v>
      </c>
      <c r="C3" s="4" t="s">
        <v>57</v>
      </c>
      <c r="D3" s="4" t="s">
        <v>58</v>
      </c>
      <c r="E3" s="4" t="s">
        <v>129</v>
      </c>
    </row>
    <row r="4" spans="1:5">
      <c r="A4" s="1" t="s">
        <v>125</v>
      </c>
      <c r="B4" s="3">
        <v>6.6531027466937731</v>
      </c>
      <c r="C4" s="3">
        <v>5.3605494086226724</v>
      </c>
      <c r="D4" s="3">
        <v>4.6261089987325699</v>
      </c>
      <c r="E4" s="3">
        <v>1.7075281222959315</v>
      </c>
    </row>
    <row r="5" spans="1:5">
      <c r="A5" s="1" t="s">
        <v>126</v>
      </c>
      <c r="B5" s="3">
        <v>6.6059341442312292</v>
      </c>
      <c r="C5" s="3">
        <v>7.4903327445457801</v>
      </c>
      <c r="D5" s="3">
        <v>7.2881506484277603</v>
      </c>
      <c r="E5" s="3">
        <v>-1.6889668787014811</v>
      </c>
    </row>
    <row r="6" spans="1:5">
      <c r="A6" s="1" t="s">
        <v>127</v>
      </c>
      <c r="B6" s="3">
        <v>6.0864145278728854</v>
      </c>
      <c r="C6" s="3">
        <v>4.3233333626895742</v>
      </c>
      <c r="D6" s="3">
        <v>3.5466421137340776</v>
      </c>
      <c r="E6" s="3">
        <v>4.2880184944548372</v>
      </c>
    </row>
    <row r="7" spans="1:5" ht="45">
      <c r="A7" s="15" t="s">
        <v>128</v>
      </c>
      <c r="B7" s="3">
        <v>6.0656158672487859</v>
      </c>
      <c r="C7" s="3">
        <v>4.0388300672127064</v>
      </c>
      <c r="D7" s="3">
        <v>2.9336109902204921</v>
      </c>
      <c r="E7" s="3">
        <v>2.8718409075532358</v>
      </c>
    </row>
    <row r="8" spans="1:5">
      <c r="A8" s="16" t="s">
        <v>91</v>
      </c>
      <c r="B8" s="17"/>
      <c r="C8" s="17"/>
      <c r="D8" s="17"/>
      <c r="E8" s="18"/>
    </row>
  </sheetData>
  <mergeCells count="2">
    <mergeCell ref="A2:E2"/>
    <mergeCell ref="A8:E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3637-A95E-4458-9580-33AAA1B29D7B}">
  <dimension ref="A1:D100"/>
  <sheetViews>
    <sheetView workbookViewId="0">
      <selection activeCell="D101" sqref="D101"/>
    </sheetView>
  </sheetViews>
  <sheetFormatPr baseColWidth="10" defaultColWidth="8.83203125" defaultRowHeight="14"/>
  <cols>
    <col min="1" max="1" width="22.1640625" style="6" customWidth="1"/>
    <col min="2" max="4" width="14.83203125" style="6" customWidth="1"/>
    <col min="5" max="16384" width="8.83203125" style="6"/>
  </cols>
  <sheetData>
    <row r="1" spans="1:4" ht="29" customHeight="1">
      <c r="A1" s="7" t="s">
        <v>148</v>
      </c>
      <c r="B1" s="7"/>
      <c r="C1" s="7"/>
      <c r="D1" s="7"/>
    </row>
    <row r="2" spans="1:4" ht="29" customHeight="1">
      <c r="A2" s="42"/>
      <c r="B2" s="43" t="s">
        <v>50</v>
      </c>
      <c r="C2" s="44"/>
      <c r="D2" s="42" t="s">
        <v>51</v>
      </c>
    </row>
    <row r="3" spans="1:4" ht="26.5" customHeight="1">
      <c r="A3" s="1"/>
      <c r="B3" s="13" t="s">
        <v>41</v>
      </c>
      <c r="C3" s="13" t="s">
        <v>42</v>
      </c>
      <c r="D3" s="13" t="s">
        <v>43</v>
      </c>
    </row>
    <row r="4" spans="1:4">
      <c r="A4" s="8">
        <v>43101</v>
      </c>
      <c r="B4" s="14">
        <v>7.42</v>
      </c>
      <c r="C4" s="45">
        <v>2.5838095238095242</v>
      </c>
      <c r="D4" s="46">
        <v>483.61904761904759</v>
      </c>
    </row>
    <row r="5" spans="1:4">
      <c r="A5" s="8">
        <v>43132</v>
      </c>
      <c r="B5" s="14">
        <v>7.57</v>
      </c>
      <c r="C5" s="45">
        <v>2.8589473684210525</v>
      </c>
      <c r="D5" s="46">
        <v>471.1052631578948</v>
      </c>
    </row>
    <row r="6" spans="1:4">
      <c r="A6" s="8">
        <v>43160</v>
      </c>
      <c r="B6" s="14">
        <v>7.57</v>
      </c>
      <c r="C6" s="45">
        <v>2.8423809523809527</v>
      </c>
      <c r="D6" s="46">
        <v>472.7619047619047</v>
      </c>
    </row>
    <row r="7" spans="1:4">
      <c r="A7" s="8">
        <v>43191</v>
      </c>
      <c r="B7" s="14">
        <v>7.43</v>
      </c>
      <c r="C7" s="45">
        <v>2.8690476190476191</v>
      </c>
      <c r="D7" s="46">
        <v>456.09523809523813</v>
      </c>
    </row>
    <row r="8" spans="1:4">
      <c r="A8" s="8">
        <v>43221</v>
      </c>
      <c r="B8" s="14">
        <v>7.77</v>
      </c>
      <c r="C8" s="45">
        <v>2.977727272727273</v>
      </c>
      <c r="D8" s="46">
        <v>479.22727272727263</v>
      </c>
    </row>
    <row r="9" spans="1:4">
      <c r="A9" s="8">
        <v>43252</v>
      </c>
      <c r="B9" s="14">
        <v>7.88</v>
      </c>
      <c r="C9" s="45">
        <v>2.9123809523809525</v>
      </c>
      <c r="D9" s="46">
        <v>496.76190476190476</v>
      </c>
    </row>
    <row r="10" spans="1:4">
      <c r="A10" s="8">
        <v>43282</v>
      </c>
      <c r="B10" s="14">
        <v>7.8</v>
      </c>
      <c r="C10" s="45">
        <v>2.8890476190476195</v>
      </c>
      <c r="D10" s="46">
        <v>491.09523809523807</v>
      </c>
    </row>
    <row r="11" spans="1:4">
      <c r="A11" s="8">
        <v>43313</v>
      </c>
      <c r="B11" s="14">
        <v>7.81</v>
      </c>
      <c r="C11" s="45">
        <v>2.8891304347826088</v>
      </c>
      <c r="D11" s="46">
        <v>492.08695652173907</v>
      </c>
    </row>
    <row r="12" spans="1:4">
      <c r="A12" s="8">
        <v>43344</v>
      </c>
      <c r="B12" s="14">
        <v>8.08</v>
      </c>
      <c r="C12" s="45">
        <v>3.0042105263157892</v>
      </c>
      <c r="D12" s="46">
        <v>507.57894736842104</v>
      </c>
    </row>
    <row r="13" spans="1:4">
      <c r="A13" s="8">
        <v>43374</v>
      </c>
      <c r="B13" s="14">
        <v>7.95</v>
      </c>
      <c r="C13" s="45">
        <v>3.1522727272727278</v>
      </c>
      <c r="D13" s="46">
        <v>479.7727272727272</v>
      </c>
    </row>
    <row r="14" spans="1:4">
      <c r="A14" s="8">
        <v>43405</v>
      </c>
      <c r="B14" s="14">
        <v>7.73</v>
      </c>
      <c r="C14" s="45">
        <v>3.1170000000000004</v>
      </c>
      <c r="D14" s="46">
        <v>461.29999999999995</v>
      </c>
    </row>
    <row r="15" spans="1:4">
      <c r="A15" s="8">
        <v>43435</v>
      </c>
      <c r="B15" s="14">
        <v>7.42</v>
      </c>
      <c r="C15" s="45">
        <v>2.8326315789473688</v>
      </c>
      <c r="D15" s="46">
        <v>458.73684210526307</v>
      </c>
    </row>
    <row r="16" spans="1:4">
      <c r="A16" s="8">
        <v>43466</v>
      </c>
      <c r="B16" s="14">
        <v>7.44</v>
      </c>
      <c r="C16" s="45">
        <v>2.7138095238095241</v>
      </c>
      <c r="D16" s="46">
        <v>472.61904761904765</v>
      </c>
    </row>
    <row r="17" spans="1:4">
      <c r="A17" s="8">
        <v>43497</v>
      </c>
      <c r="B17" s="14">
        <v>7.35</v>
      </c>
      <c r="C17" s="45">
        <v>2.676315789473684</v>
      </c>
      <c r="D17" s="46">
        <v>467.36842105263162</v>
      </c>
    </row>
    <row r="18" spans="1:4">
      <c r="A18" s="8">
        <v>43525</v>
      </c>
      <c r="B18" s="14">
        <v>7.34</v>
      </c>
      <c r="C18" s="45">
        <v>2.5709523809523809</v>
      </c>
      <c r="D18" s="46">
        <v>476.90476190476193</v>
      </c>
    </row>
    <row r="19" spans="1:4">
      <c r="A19" s="8">
        <v>43556</v>
      </c>
      <c r="B19" s="14">
        <v>7.37</v>
      </c>
      <c r="C19" s="45">
        <v>2.5323809523809522</v>
      </c>
      <c r="D19" s="46">
        <v>483.76190476190482</v>
      </c>
    </row>
    <row r="20" spans="1:4">
      <c r="A20" s="8">
        <v>43586</v>
      </c>
      <c r="B20" s="14">
        <v>7.24</v>
      </c>
      <c r="C20" s="45">
        <v>2.395</v>
      </c>
      <c r="D20" s="46">
        <v>484.50000000000006</v>
      </c>
    </row>
    <row r="21" spans="1:4">
      <c r="A21" s="8">
        <v>43617</v>
      </c>
      <c r="B21" s="14">
        <v>6.91</v>
      </c>
      <c r="C21" s="45">
        <v>2.0739999999999998</v>
      </c>
      <c r="D21" s="46">
        <v>483.6</v>
      </c>
    </row>
    <row r="22" spans="1:4">
      <c r="A22" s="8">
        <v>43647</v>
      </c>
      <c r="B22" s="14">
        <v>6.52</v>
      </c>
      <c r="C22" s="45">
        <v>2.0590909090909091</v>
      </c>
      <c r="D22" s="46">
        <v>446.09090909090912</v>
      </c>
    </row>
    <row r="23" spans="1:4">
      <c r="A23" s="8">
        <v>43678</v>
      </c>
      <c r="B23" s="14">
        <v>6.47</v>
      </c>
      <c r="C23" s="45">
        <v>1.6263636363636365</v>
      </c>
      <c r="D23" s="46">
        <v>484.36363636363637</v>
      </c>
    </row>
    <row r="24" spans="1:4">
      <c r="A24" s="8">
        <v>43709</v>
      </c>
      <c r="B24" s="14">
        <v>6.67</v>
      </c>
      <c r="C24" s="45">
        <v>1.6994999999999998</v>
      </c>
      <c r="D24" s="46">
        <v>497.05</v>
      </c>
    </row>
    <row r="25" spans="1:4">
      <c r="A25" s="8">
        <v>43739</v>
      </c>
      <c r="B25" s="14">
        <v>6.67</v>
      </c>
      <c r="C25" s="45">
        <v>1.706818181818182</v>
      </c>
      <c r="D25" s="46">
        <v>496.31818181818181</v>
      </c>
    </row>
    <row r="26" spans="1:4">
      <c r="A26" s="8">
        <v>43770</v>
      </c>
      <c r="B26" s="14">
        <v>6.66</v>
      </c>
      <c r="C26" s="45">
        <v>1.8121052631578947</v>
      </c>
      <c r="D26" s="46">
        <v>484.78947368421058</v>
      </c>
    </row>
    <row r="27" spans="1:4">
      <c r="A27" s="8">
        <v>43800</v>
      </c>
      <c r="B27" s="14">
        <v>6.63</v>
      </c>
      <c r="C27" s="45">
        <v>1.862857142857143</v>
      </c>
      <c r="D27" s="46">
        <v>476.71428571428567</v>
      </c>
    </row>
    <row r="28" spans="1:4">
      <c r="A28" s="8">
        <v>43831</v>
      </c>
      <c r="B28" s="14">
        <v>6.58</v>
      </c>
      <c r="C28" s="45">
        <v>1.7576190476190474</v>
      </c>
      <c r="D28" s="46">
        <v>482.23809523809524</v>
      </c>
    </row>
    <row r="29" spans="1:4">
      <c r="A29" s="8">
        <v>43862</v>
      </c>
      <c r="B29" s="14">
        <v>6.42</v>
      </c>
      <c r="C29" s="45">
        <v>1.5042105263157894</v>
      </c>
      <c r="D29" s="46">
        <v>491.57894736842104</v>
      </c>
    </row>
    <row r="30" spans="1:4">
      <c r="A30" s="8">
        <v>43891</v>
      </c>
      <c r="B30" s="14">
        <v>6.22</v>
      </c>
      <c r="C30" s="45">
        <v>0.86999999999999966</v>
      </c>
      <c r="D30" s="46">
        <v>535</v>
      </c>
    </row>
    <row r="31" spans="1:4">
      <c r="A31" s="8">
        <v>43922</v>
      </c>
      <c r="B31" s="14">
        <v>6.21</v>
      </c>
      <c r="C31" s="45">
        <v>0.65761904761904777</v>
      </c>
      <c r="D31" s="46">
        <v>555.23809523809518</v>
      </c>
    </row>
    <row r="32" spans="1:4">
      <c r="A32" s="8">
        <v>43952</v>
      </c>
      <c r="B32" s="14">
        <v>6.05</v>
      </c>
      <c r="C32" s="45">
        <v>0.67399999999999982</v>
      </c>
      <c r="D32" s="46">
        <v>537.6</v>
      </c>
    </row>
    <row r="33" spans="1:4">
      <c r="A33" s="8">
        <v>43983</v>
      </c>
      <c r="B33" s="14">
        <v>6</v>
      </c>
      <c r="C33" s="45">
        <v>0.72863636363636364</v>
      </c>
      <c r="D33" s="46">
        <v>527.13636363636363</v>
      </c>
    </row>
    <row r="34" spans="1:4">
      <c r="A34" s="8">
        <v>44013</v>
      </c>
      <c r="B34" s="14">
        <v>5.81</v>
      </c>
      <c r="C34" s="45">
        <v>0.62363636363636354</v>
      </c>
      <c r="D34" s="46">
        <v>518.63636363636351</v>
      </c>
    </row>
    <row r="35" spans="1:4">
      <c r="A35" s="8">
        <v>44044</v>
      </c>
      <c r="B35" s="14">
        <v>5.98</v>
      </c>
      <c r="C35" s="45">
        <v>0.65</v>
      </c>
      <c r="D35" s="46">
        <v>533</v>
      </c>
    </row>
    <row r="36" spans="1:4">
      <c r="A36" s="8">
        <v>44075</v>
      </c>
      <c r="B36" s="14">
        <v>6</v>
      </c>
      <c r="C36" s="45">
        <v>0.67952380952380931</v>
      </c>
      <c r="D36" s="46">
        <v>532.04761904761904</v>
      </c>
    </row>
    <row r="37" spans="1:4">
      <c r="A37" s="8">
        <v>44105</v>
      </c>
      <c r="B37" s="14">
        <v>5.91</v>
      </c>
      <c r="C37" s="45">
        <v>0.78714285714285703</v>
      </c>
      <c r="D37" s="46">
        <v>512.28571428571422</v>
      </c>
    </row>
    <row r="38" spans="1:4">
      <c r="A38" s="8">
        <v>44136</v>
      </c>
      <c r="B38" s="14">
        <v>5.88</v>
      </c>
      <c r="C38" s="45">
        <v>0.87000000000000011</v>
      </c>
      <c r="D38" s="46">
        <v>501</v>
      </c>
    </row>
    <row r="39" spans="1:4">
      <c r="A39" s="8">
        <v>44166</v>
      </c>
      <c r="B39" s="14">
        <v>5.93</v>
      </c>
      <c r="C39" s="45">
        <v>0.9336363636363636</v>
      </c>
      <c r="D39" s="46">
        <v>499.63636363636363</v>
      </c>
    </row>
    <row r="40" spans="1:4">
      <c r="A40" s="8">
        <v>44197</v>
      </c>
      <c r="B40" s="14">
        <v>5.92</v>
      </c>
      <c r="C40" s="45">
        <v>1.081052631578947</v>
      </c>
      <c r="D40" s="46">
        <v>483.89473684210532</v>
      </c>
    </row>
    <row r="41" spans="1:4">
      <c r="A41" s="8">
        <v>44228</v>
      </c>
      <c r="B41" s="14">
        <v>6.09</v>
      </c>
      <c r="C41" s="45">
        <v>1.2578947368421052</v>
      </c>
      <c r="D41" s="46">
        <v>483.21052631578948</v>
      </c>
    </row>
    <row r="42" spans="1:4">
      <c r="A42" s="8">
        <v>44256</v>
      </c>
      <c r="B42" s="14">
        <v>6.19</v>
      </c>
      <c r="C42" s="45">
        <v>1.6108695652173912</v>
      </c>
      <c r="D42" s="46">
        <v>457.91304347826093</v>
      </c>
    </row>
    <row r="43" spans="1:4">
      <c r="A43" s="8">
        <v>44287</v>
      </c>
      <c r="B43" s="14">
        <v>6.07</v>
      </c>
      <c r="C43" s="45">
        <v>1.6349999999999996</v>
      </c>
      <c r="D43" s="46">
        <v>443.50000000000006</v>
      </c>
    </row>
    <row r="44" spans="1:4">
      <c r="A44" s="8">
        <v>44317</v>
      </c>
      <c r="B44" s="14">
        <v>5.99</v>
      </c>
      <c r="C44" s="45">
        <v>1.6209999999999998</v>
      </c>
      <c r="D44" s="46">
        <v>436.90000000000009</v>
      </c>
    </row>
    <row r="45" spans="1:4">
      <c r="A45" s="8">
        <v>44348</v>
      </c>
      <c r="B45" s="14">
        <v>6.02</v>
      </c>
      <c r="C45" s="45">
        <v>1.5190909090909088</v>
      </c>
      <c r="D45" s="46">
        <v>450.09090909090912</v>
      </c>
    </row>
    <row r="46" spans="1:4">
      <c r="A46" s="8">
        <v>44378</v>
      </c>
      <c r="B46" s="14">
        <v>6.15</v>
      </c>
      <c r="C46" s="45">
        <v>1.3185714285714287</v>
      </c>
      <c r="D46" s="46">
        <v>483.14285714285717</v>
      </c>
    </row>
    <row r="47" spans="1:4">
      <c r="A47" s="8">
        <v>44409</v>
      </c>
      <c r="B47" s="14">
        <v>6.23</v>
      </c>
      <c r="C47" s="45">
        <v>1.283181818181818</v>
      </c>
      <c r="D47" s="46">
        <v>494.68181818181824</v>
      </c>
    </row>
    <row r="48" spans="1:4">
      <c r="A48" s="8">
        <v>44440</v>
      </c>
      <c r="B48" s="14">
        <v>6.17</v>
      </c>
      <c r="C48" s="45">
        <v>1.3747619047619046</v>
      </c>
      <c r="D48" s="46">
        <v>479.52380952380952</v>
      </c>
    </row>
    <row r="49" spans="1:4">
      <c r="A49" s="8">
        <v>44470</v>
      </c>
      <c r="B49" s="14">
        <v>6.32</v>
      </c>
      <c r="C49" s="45">
        <v>1.5825</v>
      </c>
      <c r="D49" s="46">
        <v>473.75000000000006</v>
      </c>
    </row>
    <row r="50" spans="1:4">
      <c r="A50" s="8">
        <v>44501</v>
      </c>
      <c r="B50" s="14">
        <v>6.34</v>
      </c>
      <c r="C50" s="45">
        <v>1.5594999999999999</v>
      </c>
      <c r="D50" s="46">
        <v>478.05</v>
      </c>
    </row>
    <row r="51" spans="1:4">
      <c r="A51" s="8">
        <v>44531</v>
      </c>
      <c r="B51" s="14">
        <v>6.41</v>
      </c>
      <c r="C51" s="45">
        <v>1.4650000000000001</v>
      </c>
      <c r="D51" s="46">
        <v>494.5</v>
      </c>
    </row>
    <row r="52" spans="1:4">
      <c r="A52" s="8">
        <v>44562</v>
      </c>
      <c r="B52" s="14">
        <v>6.62</v>
      </c>
      <c r="C52" s="45">
        <v>1.7639999999999998</v>
      </c>
      <c r="D52" s="46">
        <v>485.59999999999997</v>
      </c>
    </row>
    <row r="53" spans="1:4">
      <c r="A53" s="8">
        <v>44593</v>
      </c>
      <c r="B53" s="14">
        <v>6.78</v>
      </c>
      <c r="C53" s="45">
        <v>1.9342105263157894</v>
      </c>
      <c r="D53" s="46">
        <v>484.5789473684211</v>
      </c>
    </row>
    <row r="54" spans="1:4">
      <c r="A54" s="8">
        <v>44621</v>
      </c>
      <c r="B54" s="14">
        <v>6.83</v>
      </c>
      <c r="C54" s="45">
        <v>2.1278260869565218</v>
      </c>
      <c r="D54" s="46">
        <v>470.21739130434781</v>
      </c>
    </row>
    <row r="55" spans="1:4">
      <c r="A55" s="8">
        <v>44652</v>
      </c>
      <c r="B55" s="14">
        <v>7.11</v>
      </c>
      <c r="C55" s="45">
        <v>2.7475000000000005</v>
      </c>
      <c r="D55" s="46">
        <v>436.25</v>
      </c>
    </row>
    <row r="56" spans="1:4">
      <c r="A56" s="8">
        <v>44682</v>
      </c>
      <c r="B56" s="14">
        <v>7.34</v>
      </c>
      <c r="C56" s="45">
        <v>2.8980952380952383</v>
      </c>
      <c r="D56" s="46">
        <v>444.19047619047615</v>
      </c>
    </row>
    <row r="57" spans="1:4">
      <c r="A57" s="8">
        <v>44713</v>
      </c>
      <c r="B57" s="14">
        <v>7.49</v>
      </c>
      <c r="C57" s="45">
        <v>3.1433333333333344</v>
      </c>
      <c r="D57" s="46">
        <v>434.66666666666657</v>
      </c>
    </row>
    <row r="58" spans="1:4">
      <c r="A58" s="8">
        <v>44743</v>
      </c>
      <c r="B58" s="14">
        <v>7.38</v>
      </c>
      <c r="C58" s="45">
        <v>2.8959999999999999</v>
      </c>
      <c r="D58" s="46">
        <v>448.4</v>
      </c>
    </row>
    <row r="59" spans="1:4">
      <c r="A59" s="8">
        <v>44774</v>
      </c>
      <c r="B59" s="14">
        <v>7.25</v>
      </c>
      <c r="C59" s="45">
        <v>2.8978260869565213</v>
      </c>
      <c r="D59" s="46">
        <v>435.21739130434787</v>
      </c>
    </row>
    <row r="60" spans="1:4">
      <c r="A60" s="8">
        <v>44805</v>
      </c>
      <c r="B60" s="14">
        <v>7.26</v>
      </c>
      <c r="C60" s="45">
        <v>3.5190476190476194</v>
      </c>
      <c r="D60" s="46">
        <v>374.09523809523802</v>
      </c>
    </row>
    <row r="61" spans="1:4">
      <c r="A61" s="8">
        <v>44835</v>
      </c>
      <c r="B61" s="14">
        <v>7.44</v>
      </c>
      <c r="C61" s="45">
        <v>3.9834999999999994</v>
      </c>
      <c r="D61" s="46">
        <v>345.65000000000009</v>
      </c>
    </row>
    <row r="62" spans="1:4">
      <c r="A62" s="8">
        <v>44866</v>
      </c>
      <c r="B62" s="14">
        <v>7.32</v>
      </c>
      <c r="C62" s="45">
        <v>3.8910000000000005</v>
      </c>
      <c r="D62" s="46">
        <v>342.9</v>
      </c>
    </row>
    <row r="63" spans="1:4">
      <c r="A63" s="8">
        <v>44896</v>
      </c>
      <c r="B63" s="14">
        <v>7.27</v>
      </c>
      <c r="C63" s="45">
        <v>3.6161904761904755</v>
      </c>
      <c r="D63" s="46">
        <v>365.38095238095241</v>
      </c>
    </row>
    <row r="64" spans="1:4">
      <c r="A64" s="8">
        <v>44927</v>
      </c>
      <c r="B64" s="14">
        <v>7.33</v>
      </c>
      <c r="C64" s="45">
        <v>3.5315000000000003</v>
      </c>
      <c r="D64" s="46">
        <v>379.84999999999997</v>
      </c>
    </row>
    <row r="65" spans="1:4">
      <c r="A65" s="8">
        <v>44958</v>
      </c>
      <c r="B65" s="14">
        <v>7.35</v>
      </c>
      <c r="C65" s="45">
        <v>3.7468421052631586</v>
      </c>
      <c r="D65" s="46">
        <v>360.31578947368411</v>
      </c>
    </row>
    <row r="66" spans="1:4">
      <c r="A66" s="8">
        <v>44986</v>
      </c>
      <c r="B66" s="14">
        <v>7.36</v>
      </c>
      <c r="C66" s="45">
        <v>3.6630434782608687</v>
      </c>
      <c r="D66" s="46">
        <v>369.69565217391317</v>
      </c>
    </row>
    <row r="67" spans="1:4">
      <c r="A67" s="8">
        <v>45017</v>
      </c>
      <c r="B67" s="14">
        <v>7.21</v>
      </c>
      <c r="C67" s="45">
        <v>3.46</v>
      </c>
      <c r="D67" s="46">
        <v>375</v>
      </c>
    </row>
    <row r="68" spans="1:4">
      <c r="A68" s="8">
        <v>45047</v>
      </c>
      <c r="B68" s="14">
        <v>7.01</v>
      </c>
      <c r="C68" s="45">
        <v>3.5736363636363637</v>
      </c>
      <c r="D68" s="46">
        <v>343.63636363636363</v>
      </c>
    </row>
    <row r="69" spans="1:4">
      <c r="A69" s="8">
        <v>45078</v>
      </c>
      <c r="B69" s="14">
        <v>7.03</v>
      </c>
      <c r="C69" s="45">
        <v>3.7480952380952379</v>
      </c>
      <c r="D69" s="46">
        <v>328.19047619047626</v>
      </c>
    </row>
    <row r="70" spans="1:4">
      <c r="A70" s="8">
        <v>45108</v>
      </c>
      <c r="B70" s="14">
        <v>7.1</v>
      </c>
      <c r="C70" s="45">
        <v>3.8994999999999997</v>
      </c>
      <c r="D70" s="46">
        <v>320.05</v>
      </c>
    </row>
    <row r="71" spans="1:4">
      <c r="A71" s="8">
        <v>45139</v>
      </c>
      <c r="B71" s="14">
        <v>7.19</v>
      </c>
      <c r="C71" s="45">
        <v>4.1678260869565227</v>
      </c>
      <c r="D71" s="46">
        <v>302.21739130434776</v>
      </c>
    </row>
    <row r="72" spans="1:4">
      <c r="A72" s="8">
        <v>45170</v>
      </c>
      <c r="B72" s="14">
        <v>7.18</v>
      </c>
      <c r="C72" s="45">
        <v>4.3790000000000004</v>
      </c>
      <c r="D72" s="46">
        <v>280.09999999999991</v>
      </c>
    </row>
    <row r="73" spans="1:4">
      <c r="A73" s="8">
        <v>45200</v>
      </c>
      <c r="B73" s="14">
        <v>7.32</v>
      </c>
      <c r="C73" s="45">
        <v>4.7980952380952377</v>
      </c>
      <c r="D73" s="46">
        <v>252.19047619047626</v>
      </c>
    </row>
    <row r="74" spans="1:4">
      <c r="A74" s="8">
        <v>45231</v>
      </c>
      <c r="B74" s="14">
        <v>7.27</v>
      </c>
      <c r="C74" s="45">
        <v>4.5028571428571427</v>
      </c>
      <c r="D74" s="46">
        <v>276.71428571428567</v>
      </c>
    </row>
    <row r="75" spans="1:4">
      <c r="A75" s="8">
        <v>45261</v>
      </c>
      <c r="B75" s="14">
        <v>7.21</v>
      </c>
      <c r="C75" s="45">
        <v>4.0200000000000005</v>
      </c>
      <c r="D75" s="46">
        <v>318.99999999999994</v>
      </c>
    </row>
    <row r="76" spans="1:4">
      <c r="A76" s="8">
        <v>45292</v>
      </c>
      <c r="B76" s="14">
        <v>7.18</v>
      </c>
      <c r="C76" s="45">
        <v>4.0580952380952384</v>
      </c>
      <c r="D76" s="46">
        <v>312.19047619047615</v>
      </c>
    </row>
    <row r="77" spans="1:4">
      <c r="A77" s="8">
        <v>45323</v>
      </c>
      <c r="B77" s="14">
        <v>7.08</v>
      </c>
      <c r="C77" s="45">
        <v>4.2075000000000005</v>
      </c>
      <c r="D77" s="46">
        <v>287.24999999999994</v>
      </c>
    </row>
    <row r="78" spans="1:4">
      <c r="A78" s="8">
        <v>45352</v>
      </c>
      <c r="B78" s="14">
        <v>7.06</v>
      </c>
      <c r="C78" s="45">
        <v>4.208499999999999</v>
      </c>
      <c r="D78" s="46">
        <v>285.15000000000003</v>
      </c>
    </row>
    <row r="79" spans="1:4">
      <c r="A79" s="8">
        <v>45383</v>
      </c>
      <c r="B79" s="14">
        <v>7.17</v>
      </c>
      <c r="C79" s="45">
        <v>4.53909090909091</v>
      </c>
      <c r="D79" s="46">
        <v>263.09090909090901</v>
      </c>
    </row>
    <row r="80" spans="1:4">
      <c r="A80" s="8">
        <v>45413</v>
      </c>
      <c r="B80" s="14">
        <v>7.1</v>
      </c>
      <c r="C80" s="45">
        <v>4.4822727272727274</v>
      </c>
      <c r="D80" s="46">
        <v>261.77272727272725</v>
      </c>
    </row>
    <row r="81" spans="1:4">
      <c r="A81" s="8">
        <v>45444</v>
      </c>
      <c r="B81" s="14">
        <v>7</v>
      </c>
      <c r="C81" s="45">
        <v>4.3052631578947373</v>
      </c>
      <c r="D81" s="46">
        <v>269.47368421052624</v>
      </c>
    </row>
    <row r="82" spans="1:4">
      <c r="A82" s="8">
        <v>45474</v>
      </c>
      <c r="B82" s="14">
        <v>6.96</v>
      </c>
      <c r="C82" s="45">
        <v>4.2486363636363649</v>
      </c>
      <c r="D82" s="46">
        <v>271.13636363636351</v>
      </c>
    </row>
    <row r="83" spans="1:4">
      <c r="A83" s="8">
        <v>45505</v>
      </c>
      <c r="B83" s="14">
        <v>6.87</v>
      </c>
      <c r="C83" s="45">
        <v>3.8709090909090906</v>
      </c>
      <c r="D83" s="46">
        <v>299.90909090909093</v>
      </c>
    </row>
    <row r="84" spans="1:4">
      <c r="A84" s="8">
        <v>45536</v>
      </c>
      <c r="B84" s="14">
        <v>6.78</v>
      </c>
      <c r="C84" s="45">
        <v>3.7235</v>
      </c>
      <c r="D84" s="46">
        <v>305.65000000000003</v>
      </c>
    </row>
    <row r="85" spans="1:4">
      <c r="A85" s="8">
        <v>45566</v>
      </c>
      <c r="B85" s="14">
        <v>6.8</v>
      </c>
      <c r="C85" s="45">
        <v>4.0954545454545448</v>
      </c>
      <c r="D85" s="46">
        <v>270.4545454545455</v>
      </c>
    </row>
    <row r="86" spans="1:4">
      <c r="A86" s="8">
        <v>45597</v>
      </c>
      <c r="B86" s="14">
        <v>6.84</v>
      </c>
      <c r="C86" s="45">
        <v>4.3557894736842098</v>
      </c>
      <c r="D86" s="46">
        <v>248.42105263157902</v>
      </c>
    </row>
    <row r="87" spans="1:4">
      <c r="A87" s="8">
        <v>45627</v>
      </c>
      <c r="B87" s="14">
        <v>6.73</v>
      </c>
      <c r="C87" s="45">
        <v>4.3914285714285715</v>
      </c>
      <c r="D87" s="46">
        <v>233.85714285714289</v>
      </c>
    </row>
    <row r="88" spans="1:4">
      <c r="A88" s="8">
        <v>45658</v>
      </c>
      <c r="B88" s="14">
        <v>6.75</v>
      </c>
      <c r="C88" s="45">
        <v>4.6290476190476184</v>
      </c>
      <c r="D88" s="46">
        <v>212.09523809523816</v>
      </c>
    </row>
    <row r="89" spans="1:4">
      <c r="A89" s="8">
        <v>45689</v>
      </c>
      <c r="B89" s="14">
        <v>6.69</v>
      </c>
      <c r="C89" s="45">
        <v>4.4510526315789471</v>
      </c>
      <c r="D89" s="46">
        <v>223.89473684210532</v>
      </c>
    </row>
    <row r="90" spans="1:4">
      <c r="A90" s="8">
        <v>45717</v>
      </c>
      <c r="B90" s="14">
        <v>6.66</v>
      </c>
      <c r="C90" s="45">
        <v>4.2804761904761905</v>
      </c>
      <c r="D90" s="46">
        <v>237.95238095238096</v>
      </c>
    </row>
    <row r="91" spans="1:4">
      <c r="A91" s="8">
        <v>45748</v>
      </c>
      <c r="B91" s="14">
        <v>6.4</v>
      </c>
      <c r="C91" s="45">
        <v>4.2790476190476188</v>
      </c>
      <c r="D91" s="46">
        <v>212.09523809523816</v>
      </c>
    </row>
    <row r="92" spans="1:4">
      <c r="A92" s="8">
        <v>45778</v>
      </c>
      <c r="B92" s="14">
        <v>6.31</v>
      </c>
      <c r="C92" s="45">
        <v>4.4238095238095259</v>
      </c>
      <c r="D92" s="46">
        <v>188.61904761904736</v>
      </c>
    </row>
    <row r="93" spans="1:4">
      <c r="A93" s="8">
        <v>45809</v>
      </c>
      <c r="B93" s="14">
        <v>6.33</v>
      </c>
      <c r="C93" s="45">
        <v>4.3834999999999997</v>
      </c>
      <c r="D93" s="46">
        <v>194.65000000000003</v>
      </c>
    </row>
    <row r="94" spans="1:4">
      <c r="A94" s="8">
        <v>45839</v>
      </c>
      <c r="B94" s="14">
        <v>6.37</v>
      </c>
      <c r="C94" s="45">
        <v>4.3918181818181825</v>
      </c>
      <c r="D94" s="46">
        <v>197.81818181818176</v>
      </c>
    </row>
    <row r="95" spans="1:4">
      <c r="A95" s="8">
        <v>45870</v>
      </c>
      <c r="B95" s="14">
        <v>6.47</v>
      </c>
      <c r="C95" s="45">
        <v>4.2647619047619045</v>
      </c>
      <c r="D95" s="46">
        <v>220.52380952380952</v>
      </c>
    </row>
    <row r="96" spans="1:4">
      <c r="A96" s="8">
        <v>45901</v>
      </c>
      <c r="B96" s="14">
        <v>6.5</v>
      </c>
      <c r="C96" s="45">
        <v>4.1204761904761895</v>
      </c>
      <c r="D96" s="46">
        <v>237.95238095238105</v>
      </c>
    </row>
    <row r="97" spans="1:4">
      <c r="A97" s="8">
        <v>45931</v>
      </c>
      <c r="B97" s="14">
        <v>6.52</v>
      </c>
      <c r="C97" s="45">
        <v>4.0618181818181816</v>
      </c>
      <c r="D97" s="46">
        <v>245.81818181818181</v>
      </c>
    </row>
    <row r="98" spans="1:4">
      <c r="A98" s="8">
        <v>45962</v>
      </c>
      <c r="B98" s="14">
        <v>6.52</v>
      </c>
      <c r="C98" s="45">
        <v>4.0938888888888885</v>
      </c>
      <c r="D98" s="46">
        <v>242.61111111111111</v>
      </c>
    </row>
    <row r="99" spans="1:4">
      <c r="A99" s="8">
        <v>45992</v>
      </c>
      <c r="B99" s="14">
        <v>6.57</v>
      </c>
      <c r="C99" s="45">
        <v>4.1431818181818185</v>
      </c>
      <c r="D99" s="46">
        <v>242.68181818181819</v>
      </c>
    </row>
    <row r="100" spans="1:4">
      <c r="A100" s="22" t="s">
        <v>149</v>
      </c>
      <c r="B100" s="22"/>
      <c r="C100" s="22"/>
      <c r="D100" s="22"/>
    </row>
  </sheetData>
  <mergeCells count="3">
    <mergeCell ref="A1:D1"/>
    <mergeCell ref="A100:D100"/>
    <mergeCell ref="B2:C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115A-7310-46D0-A9F0-790335E63CD7}">
  <dimension ref="A1:E35"/>
  <sheetViews>
    <sheetView workbookViewId="0">
      <selection activeCell="A35" sqref="A35:E35"/>
    </sheetView>
  </sheetViews>
  <sheetFormatPr baseColWidth="10" defaultColWidth="8.83203125" defaultRowHeight="14"/>
  <cols>
    <col min="1" max="2" width="8.83203125" style="6"/>
    <col min="3" max="3" width="13.1640625" style="6" customWidth="1"/>
    <col min="4" max="5" width="12" style="6" customWidth="1"/>
    <col min="6" max="16384" width="8.83203125" style="6"/>
  </cols>
  <sheetData>
    <row r="1" spans="1:5" ht="14.5" customHeight="1">
      <c r="A1" s="7" t="s">
        <v>147</v>
      </c>
      <c r="B1" s="7"/>
      <c r="C1" s="7"/>
      <c r="D1" s="7"/>
      <c r="E1" s="7"/>
    </row>
    <row r="2" spans="1:5">
      <c r="A2" s="1"/>
      <c r="B2" s="2" t="s">
        <v>49</v>
      </c>
      <c r="C2" s="2"/>
      <c r="D2" s="2"/>
      <c r="E2" s="2"/>
    </row>
    <row r="3" spans="1:5">
      <c r="A3" s="1"/>
      <c r="B3" s="1" t="s">
        <v>44</v>
      </c>
      <c r="C3" s="1" t="s">
        <v>45</v>
      </c>
      <c r="D3" s="1" t="s">
        <v>46</v>
      </c>
      <c r="E3" s="1" t="s">
        <v>47</v>
      </c>
    </row>
    <row r="4" spans="1:5">
      <c r="A4" s="8">
        <v>45047</v>
      </c>
      <c r="B4" s="3">
        <v>15.531440731274548</v>
      </c>
      <c r="C4" s="3">
        <v>19.127253322488791</v>
      </c>
      <c r="D4" s="3">
        <v>6.0486187171335803</v>
      </c>
      <c r="E4" s="3">
        <v>21.299754355976841</v>
      </c>
    </row>
    <row r="5" spans="1:5">
      <c r="A5" s="8">
        <v>45078</v>
      </c>
      <c r="B5" s="3">
        <v>16.284939894421747</v>
      </c>
      <c r="C5" s="3">
        <v>21.322085085649476</v>
      </c>
      <c r="D5" s="3">
        <v>7.4390606795130321</v>
      </c>
      <c r="E5" s="3">
        <v>26.772448605985666</v>
      </c>
    </row>
    <row r="6" spans="1:5">
      <c r="A6" s="8">
        <v>45108</v>
      </c>
      <c r="B6" s="3">
        <v>19.691014196504764</v>
      </c>
      <c r="C6" s="3">
        <v>31.14983465782224</v>
      </c>
      <c r="D6" s="3">
        <v>5.1753890804805636</v>
      </c>
      <c r="E6" s="3">
        <v>23.421991996929336</v>
      </c>
    </row>
    <row r="7" spans="1:5">
      <c r="A7" s="8">
        <v>45139</v>
      </c>
      <c r="B7" s="3">
        <v>19.846188762572691</v>
      </c>
      <c r="C7" s="3">
        <v>30.360598670034754</v>
      </c>
      <c r="D7" s="3">
        <v>5.9123008851320824</v>
      </c>
      <c r="E7" s="3">
        <v>24.980932369602971</v>
      </c>
    </row>
    <row r="8" spans="1:5">
      <c r="A8" s="8">
        <v>45170</v>
      </c>
      <c r="B8" s="3">
        <v>20.021771702611279</v>
      </c>
      <c r="C8" s="3">
        <v>30.031516797926152</v>
      </c>
      <c r="D8" s="3">
        <v>6.5076262018474385</v>
      </c>
      <c r="E8" s="3">
        <v>25.39297817357231</v>
      </c>
    </row>
    <row r="9" spans="1:5">
      <c r="A9" s="8">
        <v>45200</v>
      </c>
      <c r="B9" s="3">
        <v>21.029907763374212</v>
      </c>
      <c r="C9" s="3">
        <v>29.941931837059443</v>
      </c>
      <c r="D9" s="3">
        <v>6.171130276439829</v>
      </c>
      <c r="E9" s="3">
        <v>22.795714560373035</v>
      </c>
    </row>
    <row r="10" spans="1:5">
      <c r="A10" s="8">
        <v>45231</v>
      </c>
      <c r="B10" s="3">
        <v>22.396751934917592</v>
      </c>
      <c r="C10" s="3">
        <v>30.40830328336277</v>
      </c>
      <c r="D10" s="3">
        <v>6.8888918703345015</v>
      </c>
      <c r="E10" s="3">
        <v>24.503790761893796</v>
      </c>
    </row>
    <row r="11" spans="1:5">
      <c r="A11" s="8">
        <v>45261</v>
      </c>
      <c r="B11" s="3">
        <v>20.115813342325485</v>
      </c>
      <c r="C11" s="3">
        <v>28.774686578504504</v>
      </c>
      <c r="D11" s="3">
        <v>8.889246141144902</v>
      </c>
      <c r="E11" s="3">
        <v>22.145172843300887</v>
      </c>
    </row>
    <row r="12" spans="1:5">
      <c r="A12" s="8">
        <v>45292</v>
      </c>
      <c r="B12" s="3">
        <v>20.399838938914815</v>
      </c>
      <c r="C12" s="3">
        <v>28.984690523910682</v>
      </c>
      <c r="D12" s="3">
        <v>8.8132425426871386</v>
      </c>
      <c r="E12" s="3">
        <v>22.993206346560548</v>
      </c>
    </row>
    <row r="13" spans="1:5">
      <c r="A13" s="8">
        <v>45323</v>
      </c>
      <c r="B13" s="3">
        <v>20.563864429975641</v>
      </c>
      <c r="C13" s="3">
        <v>28.472555828870338</v>
      </c>
      <c r="D13" s="3">
        <v>9.743442988399087</v>
      </c>
      <c r="E13" s="3">
        <v>23.056659723601246</v>
      </c>
    </row>
    <row r="14" spans="1:5">
      <c r="A14" s="8">
        <v>45352</v>
      </c>
      <c r="B14" s="3">
        <v>20.166143894415779</v>
      </c>
      <c r="C14" s="3">
        <v>27.826644287206314</v>
      </c>
      <c r="D14" s="3">
        <v>9.3864696181686025</v>
      </c>
      <c r="E14" s="3">
        <v>22.276834318635164</v>
      </c>
    </row>
    <row r="15" spans="1:5">
      <c r="A15" s="8">
        <v>45383</v>
      </c>
      <c r="B15" s="3">
        <v>19.045541832439206</v>
      </c>
      <c r="C15" s="3">
        <v>27.066394371513546</v>
      </c>
      <c r="D15" s="3">
        <v>8.286341052675116</v>
      </c>
      <c r="E15" s="3">
        <v>20.782456495524016</v>
      </c>
    </row>
    <row r="16" spans="1:5">
      <c r="A16" s="8">
        <v>45413</v>
      </c>
      <c r="B16" s="3">
        <v>19.830295232312302</v>
      </c>
      <c r="C16" s="3">
        <v>29.091234572896219</v>
      </c>
      <c r="D16" s="3">
        <v>10.362477733572618</v>
      </c>
      <c r="E16" s="3">
        <v>21.880488380550879</v>
      </c>
    </row>
    <row r="17" spans="1:5">
      <c r="A17" s="8">
        <v>45444</v>
      </c>
      <c r="B17" s="3">
        <v>17.352321412843107</v>
      </c>
      <c r="C17" s="3">
        <v>25.958514542896992</v>
      </c>
      <c r="D17" s="3">
        <v>9.1387307837076825</v>
      </c>
      <c r="E17" s="3">
        <v>16.098378947635418</v>
      </c>
    </row>
    <row r="18" spans="1:5">
      <c r="A18" s="8">
        <v>45474</v>
      </c>
      <c r="B18" s="3">
        <v>13.681942586024377</v>
      </c>
      <c r="C18" s="3">
        <v>14.290752400310659</v>
      </c>
      <c r="D18" s="3">
        <v>11.144918290866457</v>
      </c>
      <c r="E18" s="3">
        <v>13.235463570660499</v>
      </c>
    </row>
    <row r="19" spans="1:5">
      <c r="A19" s="8">
        <v>45505</v>
      </c>
      <c r="B19" s="3">
        <v>13.578005650509484</v>
      </c>
      <c r="C19" s="3">
        <v>14.274721172230254</v>
      </c>
      <c r="D19" s="3">
        <v>10.697814878628954</v>
      </c>
      <c r="E19" s="3">
        <v>12.676521111203787</v>
      </c>
    </row>
    <row r="20" spans="1:5">
      <c r="A20" s="8">
        <v>45536</v>
      </c>
      <c r="B20" s="3">
        <v>13.036074225255479</v>
      </c>
      <c r="C20" s="3">
        <v>13.763841133229704</v>
      </c>
      <c r="D20" s="3">
        <v>9.9572025493579908</v>
      </c>
      <c r="E20" s="3">
        <v>12.444663740834972</v>
      </c>
    </row>
    <row r="21" spans="1:5">
      <c r="A21" s="8">
        <v>45566</v>
      </c>
      <c r="B21" s="3">
        <v>11.745198987176607</v>
      </c>
      <c r="C21" s="3">
        <v>12.903198901374701</v>
      </c>
      <c r="D21" s="3">
        <v>8.1333708752400646</v>
      </c>
      <c r="E21" s="3">
        <v>12.500663021519397</v>
      </c>
    </row>
    <row r="22" spans="1:5">
      <c r="A22" s="8">
        <v>45597</v>
      </c>
      <c r="B22" s="3">
        <v>10.605448919729632</v>
      </c>
      <c r="C22" s="3">
        <v>13.352912769518777</v>
      </c>
      <c r="D22" s="3">
        <v>8.2553903173993461</v>
      </c>
      <c r="E22" s="3">
        <v>12.775787813091233</v>
      </c>
    </row>
    <row r="23" spans="1:5">
      <c r="A23" s="8">
        <v>45627</v>
      </c>
      <c r="B23" s="3">
        <v>11.105912786912819</v>
      </c>
      <c r="C23" s="3">
        <v>12.0409689509289</v>
      </c>
      <c r="D23" s="3">
        <v>7.4796580954447078</v>
      </c>
      <c r="E23" s="3">
        <v>11.474478173483238</v>
      </c>
    </row>
    <row r="24" spans="1:5">
      <c r="A24" s="8">
        <v>45658</v>
      </c>
      <c r="B24" s="3">
        <v>11.380215618777756</v>
      </c>
      <c r="C24" s="3">
        <v>11.853226692383778</v>
      </c>
      <c r="D24" s="3">
        <v>8.2879244871808524</v>
      </c>
      <c r="E24" s="3">
        <v>12.290717403584539</v>
      </c>
    </row>
    <row r="25" spans="1:5">
      <c r="A25" s="8">
        <v>45689</v>
      </c>
      <c r="B25" s="3">
        <v>10.936980757897864</v>
      </c>
      <c r="C25" s="3">
        <v>11.73745979426808</v>
      </c>
      <c r="D25" s="3">
        <v>7.4505003965040562</v>
      </c>
      <c r="E25" s="3">
        <v>11.711321267393625</v>
      </c>
    </row>
    <row r="26" spans="1:5">
      <c r="A26" s="8">
        <v>45717</v>
      </c>
      <c r="B26" s="3">
        <v>10.959527944666792</v>
      </c>
      <c r="C26" s="3">
        <v>11.689564314939149</v>
      </c>
      <c r="D26" s="3">
        <v>8.2355972744515569</v>
      </c>
      <c r="E26" s="3">
        <v>12.014512771468922</v>
      </c>
    </row>
    <row r="27" spans="1:5">
      <c r="A27" s="8">
        <v>45748</v>
      </c>
      <c r="B27" s="3">
        <v>10.203698278402683</v>
      </c>
      <c r="C27" s="3">
        <v>11.892876719201141</v>
      </c>
      <c r="D27" s="3">
        <v>6.9774475496847232</v>
      </c>
      <c r="E27" s="3">
        <v>10.139358085239468</v>
      </c>
    </row>
    <row r="28" spans="1:5">
      <c r="A28" s="8">
        <v>45778</v>
      </c>
      <c r="B28" s="3">
        <v>8.7984636239385683</v>
      </c>
      <c r="C28" s="3">
        <v>11.112430145313512</v>
      </c>
      <c r="D28" s="3">
        <v>5.2620624844103903</v>
      </c>
      <c r="E28" s="3">
        <v>8.3883790100407261</v>
      </c>
    </row>
    <row r="29" spans="1:5">
      <c r="A29" s="8">
        <v>45809</v>
      </c>
      <c r="B29" s="3">
        <v>9.3300982232578775</v>
      </c>
      <c r="C29" s="3">
        <v>11.692751815943115</v>
      </c>
      <c r="D29" s="3">
        <v>6.3378386655567498</v>
      </c>
      <c r="E29" s="3">
        <v>8.8210479086794802</v>
      </c>
    </row>
    <row r="30" spans="1:5">
      <c r="A30" s="8">
        <v>45839</v>
      </c>
      <c r="B30" s="3">
        <v>9.8804694833675821</v>
      </c>
      <c r="C30" s="3">
        <v>11.870471458404342</v>
      </c>
      <c r="D30" s="3">
        <v>6.5069232004851596</v>
      </c>
      <c r="E30" s="3">
        <v>10.194617472507804</v>
      </c>
    </row>
    <row r="31" spans="1:5">
      <c r="A31" s="8">
        <v>45870</v>
      </c>
      <c r="B31" s="3">
        <v>9.8916111568996037</v>
      </c>
      <c r="C31" s="3">
        <v>11.851256899917818</v>
      </c>
      <c r="D31" s="3">
        <v>7.0175301694227477</v>
      </c>
      <c r="E31" s="3">
        <v>10.267969787104626</v>
      </c>
    </row>
    <row r="32" spans="1:5">
      <c r="A32" s="8">
        <v>45901</v>
      </c>
      <c r="B32" s="3">
        <v>10.245601084256005</v>
      </c>
      <c r="C32" s="3">
        <v>11.759273565115457</v>
      </c>
      <c r="D32" s="3">
        <v>7.792218107895077</v>
      </c>
      <c r="E32" s="3">
        <v>9.8134892685636466</v>
      </c>
    </row>
    <row r="33" spans="1:5">
      <c r="A33" s="8">
        <v>45931</v>
      </c>
      <c r="B33" s="3">
        <v>11.102409808134661</v>
      </c>
      <c r="C33" s="3">
        <v>13.965883803176871</v>
      </c>
      <c r="D33" s="3">
        <v>9.9796737406850689</v>
      </c>
      <c r="E33" s="3">
        <v>13.023358066730184</v>
      </c>
    </row>
    <row r="34" spans="1:5">
      <c r="A34" s="8">
        <v>45962</v>
      </c>
      <c r="B34" s="3">
        <v>11.397892103840279</v>
      </c>
      <c r="C34" s="3">
        <v>12.762547763990217</v>
      </c>
      <c r="D34" s="3">
        <v>9.5628916788613303</v>
      </c>
      <c r="E34" s="3">
        <v>11.696338643633064</v>
      </c>
    </row>
    <row r="35" spans="1:5" ht="28" customHeight="1">
      <c r="A35" s="41" t="s">
        <v>48</v>
      </c>
      <c r="B35" s="41"/>
      <c r="C35" s="41"/>
      <c r="D35" s="41"/>
      <c r="E35" s="41"/>
    </row>
  </sheetData>
  <mergeCells count="3">
    <mergeCell ref="B2:E2"/>
    <mergeCell ref="A1:E1"/>
    <mergeCell ref="A35:E3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26EB-B099-4ADA-82A5-09DE23D7E207}">
  <dimension ref="A2:C12"/>
  <sheetViews>
    <sheetView workbookViewId="0">
      <selection activeCell="A2" sqref="A2:C2"/>
    </sheetView>
  </sheetViews>
  <sheetFormatPr baseColWidth="10" defaultColWidth="8.83203125" defaultRowHeight="14"/>
  <cols>
    <col min="1" max="3" width="12.6640625" style="6" customWidth="1"/>
    <col min="4" max="16384" width="8.83203125" style="6"/>
  </cols>
  <sheetData>
    <row r="2" spans="1:3" ht="43" customHeight="1">
      <c r="A2" s="7" t="s">
        <v>130</v>
      </c>
      <c r="B2" s="7"/>
      <c r="C2" s="7"/>
    </row>
    <row r="3" spans="1:3">
      <c r="A3" s="1"/>
      <c r="B3" s="1"/>
      <c r="C3" s="1" t="s">
        <v>60</v>
      </c>
    </row>
    <row r="4" spans="1:3">
      <c r="A4" s="1"/>
      <c r="B4" s="1" t="s">
        <v>53</v>
      </c>
      <c r="C4" s="1">
        <v>7.7</v>
      </c>
    </row>
    <row r="5" spans="1:3">
      <c r="A5" s="1"/>
      <c r="B5" s="1" t="s">
        <v>54</v>
      </c>
      <c r="C5" s="1">
        <v>11.4</v>
      </c>
    </row>
    <row r="6" spans="1:3">
      <c r="A6" s="1"/>
      <c r="B6" s="1" t="s">
        <v>55</v>
      </c>
      <c r="C6" s="1">
        <v>10.9</v>
      </c>
    </row>
    <row r="7" spans="1:3">
      <c r="A7" s="1"/>
      <c r="B7" s="1" t="s">
        <v>56</v>
      </c>
      <c r="C7" s="1">
        <v>9</v>
      </c>
    </row>
    <row r="8" spans="1:3">
      <c r="A8" s="1"/>
      <c r="B8" s="1" t="s">
        <v>57</v>
      </c>
      <c r="C8" s="1">
        <v>12.6</v>
      </c>
    </row>
    <row r="9" spans="1:3">
      <c r="A9" s="1"/>
      <c r="B9" s="1" t="s">
        <v>58</v>
      </c>
      <c r="C9" s="1">
        <v>17.100000000000001</v>
      </c>
    </row>
    <row r="10" spans="1:3">
      <c r="A10" s="2" t="s">
        <v>59</v>
      </c>
      <c r="B10" s="1" t="s">
        <v>57</v>
      </c>
      <c r="C10" s="1">
        <v>7.9</v>
      </c>
    </row>
    <row r="11" spans="1:3">
      <c r="A11" s="2"/>
      <c r="B11" s="1" t="s">
        <v>58</v>
      </c>
      <c r="C11" s="1">
        <v>10.199999999999999</v>
      </c>
    </row>
    <row r="12" spans="1:3">
      <c r="A12" s="22" t="s">
        <v>61</v>
      </c>
      <c r="B12" s="22"/>
      <c r="C12" s="22"/>
    </row>
  </sheetData>
  <mergeCells count="3">
    <mergeCell ref="A2:C2"/>
    <mergeCell ref="A10:A11"/>
    <mergeCell ref="A12:C12"/>
  </mergeCells>
  <phoneticPr fontId="1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2CC4-C810-4E63-8041-F9EED94F1082}">
  <dimension ref="A1:H14"/>
  <sheetViews>
    <sheetView workbookViewId="0">
      <selection activeCell="A14" sqref="A14:H14"/>
    </sheetView>
  </sheetViews>
  <sheetFormatPr baseColWidth="10" defaultColWidth="8.83203125" defaultRowHeight="14"/>
  <cols>
    <col min="1" max="2" width="8.83203125" style="6"/>
    <col min="3" max="5" width="13" style="6" customWidth="1"/>
    <col min="6" max="6" width="8.33203125" style="6" customWidth="1"/>
    <col min="7" max="7" width="12.1640625" style="6" customWidth="1"/>
    <col min="8" max="8" width="14.6640625" style="6" bestFit="1" customWidth="1"/>
    <col min="9" max="16384" width="8.83203125" style="6"/>
  </cols>
  <sheetData>
    <row r="1" spans="1:8">
      <c r="A1" s="21" t="s">
        <v>161</v>
      </c>
      <c r="B1" s="21"/>
      <c r="C1" s="21"/>
      <c r="D1" s="21"/>
      <c r="E1" s="21"/>
      <c r="F1" s="21"/>
      <c r="G1" s="21"/>
      <c r="H1" s="21"/>
    </row>
    <row r="2" spans="1:8">
      <c r="A2" s="1"/>
      <c r="B2" s="1"/>
      <c r="C2" s="2" t="s">
        <v>62</v>
      </c>
      <c r="D2" s="2"/>
      <c r="E2" s="2"/>
      <c r="F2" s="2" t="s">
        <v>63</v>
      </c>
      <c r="G2" s="2"/>
      <c r="H2" s="1" t="s">
        <v>64</v>
      </c>
    </row>
    <row r="3" spans="1:8" ht="28" customHeight="1">
      <c r="A3" s="1"/>
      <c r="B3" s="1"/>
      <c r="C3" s="13" t="s">
        <v>76</v>
      </c>
      <c r="D3" s="13" t="s">
        <v>65</v>
      </c>
      <c r="E3" s="13" t="s">
        <v>66</v>
      </c>
      <c r="F3" s="13" t="s">
        <v>67</v>
      </c>
      <c r="G3" s="13" t="s">
        <v>68</v>
      </c>
      <c r="H3" s="13" t="s">
        <v>69</v>
      </c>
    </row>
    <row r="4" spans="1:8">
      <c r="A4" s="2" t="s">
        <v>57</v>
      </c>
      <c r="B4" s="1" t="s">
        <v>70</v>
      </c>
      <c r="C4" s="3">
        <v>-56.701224032890998</v>
      </c>
      <c r="D4" s="3">
        <v>35.120882929915005</v>
      </c>
      <c r="E4" s="3">
        <v>23.644793317709997</v>
      </c>
      <c r="F4" s="1">
        <v>-73501.214940156002</v>
      </c>
      <c r="G4" s="1">
        <v>7211628</v>
      </c>
      <c r="H4" s="3">
        <v>-1.0192041927309063</v>
      </c>
    </row>
    <row r="5" spans="1:8">
      <c r="A5" s="2"/>
      <c r="B5" s="1" t="s">
        <v>71</v>
      </c>
      <c r="C5" s="3">
        <v>-64.545720765886003</v>
      </c>
      <c r="D5" s="3">
        <v>39.940126366839998</v>
      </c>
      <c r="E5" s="3">
        <v>25.295742866104</v>
      </c>
      <c r="F5" s="1">
        <v>-93094.418143485003</v>
      </c>
      <c r="G5" s="1">
        <v>7240697</v>
      </c>
      <c r="H5" s="3">
        <v>-1.2857107284490017</v>
      </c>
    </row>
    <row r="6" spans="1:8">
      <c r="A6" s="2"/>
      <c r="B6" s="1" t="s">
        <v>72</v>
      </c>
      <c r="C6" s="3">
        <v>-71.645583153023992</v>
      </c>
      <c r="D6" s="3">
        <v>45.006268853476001</v>
      </c>
      <c r="E6" s="3">
        <v>29.159568450757</v>
      </c>
      <c r="F6" s="1">
        <v>-86729.378593614005</v>
      </c>
      <c r="G6" s="1">
        <v>7709665</v>
      </c>
      <c r="H6" s="3">
        <v>-1.1249435428596963</v>
      </c>
    </row>
    <row r="7" spans="1:8">
      <c r="A7" s="2"/>
      <c r="B7" s="1" t="s">
        <v>73</v>
      </c>
      <c r="C7" s="3">
        <v>-52.018556704916001</v>
      </c>
      <c r="D7" s="3">
        <v>42.684317347171998</v>
      </c>
      <c r="E7" s="3">
        <v>28.977241767699002</v>
      </c>
      <c r="F7" s="1">
        <v>38077.481003389003</v>
      </c>
      <c r="G7" s="1">
        <v>7960966</v>
      </c>
      <c r="H7" s="3">
        <v>0.4783022688878335</v>
      </c>
    </row>
    <row r="8" spans="1:8">
      <c r="A8" s="2" t="s">
        <v>58</v>
      </c>
      <c r="B8" s="1" t="s">
        <v>70</v>
      </c>
      <c r="C8" s="3">
        <v>-59.793510790248995</v>
      </c>
      <c r="D8" s="3">
        <v>39.850127467496002</v>
      </c>
      <c r="E8" s="3">
        <v>26.654866694778999</v>
      </c>
      <c r="F8" s="1">
        <v>-37159.259011918999</v>
      </c>
      <c r="G8" s="1">
        <v>7907894</v>
      </c>
      <c r="H8" s="3">
        <v>-0.46990082330287936</v>
      </c>
    </row>
    <row r="9" spans="1:8">
      <c r="A9" s="2"/>
      <c r="B9" s="1" t="s">
        <v>71</v>
      </c>
      <c r="C9" s="3">
        <v>-88.530499037238002</v>
      </c>
      <c r="D9" s="3">
        <v>44.461255504511001</v>
      </c>
      <c r="E9" s="3">
        <v>32.618707552491003</v>
      </c>
      <c r="F9" s="1">
        <v>-174504.80824979299</v>
      </c>
      <c r="G9" s="1">
        <v>7840345</v>
      </c>
      <c r="H9" s="3">
        <v>-2.2257286924209709</v>
      </c>
    </row>
    <row r="10" spans="1:8">
      <c r="A10" s="2"/>
      <c r="B10" s="1" t="s">
        <v>72</v>
      </c>
      <c r="C10" s="3">
        <v>-79.308639247155995</v>
      </c>
      <c r="D10" s="3">
        <v>51.210056817390004</v>
      </c>
      <c r="E10" s="3">
        <v>33.192436759625004</v>
      </c>
      <c r="F10" s="1">
        <v>-95565.938894064995</v>
      </c>
      <c r="G10" s="1">
        <v>8502372</v>
      </c>
      <c r="H10" s="3">
        <v>-1.1239915037129049</v>
      </c>
    </row>
    <row r="11" spans="1:8">
      <c r="A11" s="2"/>
      <c r="B11" s="1" t="s">
        <v>73</v>
      </c>
      <c r="C11" s="3">
        <v>-59.314135817861001</v>
      </c>
      <c r="D11" s="3">
        <v>53.314443641083002</v>
      </c>
      <c r="E11" s="3">
        <v>31.839345861335001</v>
      </c>
      <c r="F11" s="1">
        <v>116803.901391504</v>
      </c>
      <c r="G11" s="1">
        <v>8817534</v>
      </c>
      <c r="H11" s="3">
        <v>1.3246776410672643</v>
      </c>
    </row>
    <row r="12" spans="1:8">
      <c r="A12" s="2" t="s">
        <v>74</v>
      </c>
      <c r="B12" s="1" t="s">
        <v>70</v>
      </c>
      <c r="C12" s="3">
        <v>-68.887076535890998</v>
      </c>
      <c r="D12" s="3">
        <v>47.903082420015998</v>
      </c>
      <c r="E12" s="3">
        <v>31.101152166759999</v>
      </c>
      <c r="F12" s="1">
        <v>-20116.588049973001</v>
      </c>
      <c r="G12" s="1">
        <v>8605365</v>
      </c>
      <c r="H12" s="3">
        <v>-0.23376798136944804</v>
      </c>
    </row>
    <row r="13" spans="1:8">
      <c r="A13" s="2"/>
      <c r="B13" s="1" t="s">
        <v>71</v>
      </c>
      <c r="C13" s="3">
        <v>-87.44325127549601</v>
      </c>
      <c r="D13" s="3">
        <v>50.887840570536</v>
      </c>
      <c r="E13" s="3">
        <v>36.409903141034</v>
      </c>
      <c r="F13" s="1">
        <v>-107335.70379323199</v>
      </c>
      <c r="G13" s="1">
        <v>8525070</v>
      </c>
      <c r="H13" s="3">
        <v>-1.259059500898315</v>
      </c>
    </row>
    <row r="14" spans="1:8" ht="29.5" customHeight="1">
      <c r="A14" s="50" t="s">
        <v>75</v>
      </c>
      <c r="B14" s="50"/>
      <c r="C14" s="50"/>
      <c r="D14" s="50"/>
      <c r="E14" s="50"/>
      <c r="F14" s="50"/>
      <c r="G14" s="50"/>
      <c r="H14" s="50"/>
    </row>
  </sheetData>
  <mergeCells count="7">
    <mergeCell ref="A12:A13"/>
    <mergeCell ref="A14:H14"/>
    <mergeCell ref="A1:H1"/>
    <mergeCell ref="C2:E2"/>
    <mergeCell ref="F2:G2"/>
    <mergeCell ref="A4:A7"/>
    <mergeCell ref="A8:A1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334B-5974-D04E-A46A-E55B5F48B013}">
  <dimension ref="B4:F27"/>
  <sheetViews>
    <sheetView workbookViewId="0">
      <selection activeCell="M28" sqref="M27:M28"/>
    </sheetView>
  </sheetViews>
  <sheetFormatPr baseColWidth="10" defaultRowHeight="14"/>
  <cols>
    <col min="1" max="16384" width="10.83203125" style="6"/>
  </cols>
  <sheetData>
    <row r="4" spans="2:6">
      <c r="B4" s="21" t="s">
        <v>131</v>
      </c>
      <c r="C4" s="21"/>
      <c r="D4" s="21"/>
      <c r="E4" s="21"/>
      <c r="F4" s="21"/>
    </row>
    <row r="5" spans="2:6">
      <c r="B5" s="4"/>
      <c r="C5" s="4" t="s">
        <v>132</v>
      </c>
      <c r="D5" s="4" t="s">
        <v>133</v>
      </c>
      <c r="E5" s="4" t="s">
        <v>134</v>
      </c>
      <c r="F5" s="4" t="s">
        <v>135</v>
      </c>
    </row>
    <row r="6" spans="2:6">
      <c r="B6" s="1" t="s">
        <v>136</v>
      </c>
      <c r="C6" s="1">
        <v>5.0999999999999996</v>
      </c>
      <c r="D6" s="1">
        <v>5.4</v>
      </c>
      <c r="E6" s="1"/>
      <c r="F6" s="1"/>
    </row>
    <row r="7" spans="2:6">
      <c r="B7" s="1" t="s">
        <v>137</v>
      </c>
      <c r="C7" s="1">
        <v>5.6</v>
      </c>
      <c r="D7" s="1">
        <v>5.4</v>
      </c>
      <c r="E7" s="1"/>
      <c r="F7" s="1"/>
    </row>
    <row r="8" spans="2:6">
      <c r="B8" s="1" t="s">
        <v>138</v>
      </c>
      <c r="C8" s="1">
        <v>5.6</v>
      </c>
      <c r="D8" s="1">
        <v>5.4</v>
      </c>
      <c r="E8" s="1"/>
      <c r="F8" s="1"/>
    </row>
    <row r="9" spans="2:6">
      <c r="B9" s="1" t="s">
        <v>139</v>
      </c>
      <c r="C9" s="1">
        <v>5.2</v>
      </c>
      <c r="D9" s="1"/>
      <c r="E9" s="1">
        <v>5.2</v>
      </c>
      <c r="F9" s="1"/>
    </row>
    <row r="10" spans="2:6">
      <c r="B10" s="1" t="s">
        <v>140</v>
      </c>
      <c r="C10" s="1">
        <v>5.0999999999999996</v>
      </c>
      <c r="D10" s="1"/>
      <c r="E10" s="1">
        <v>5.2</v>
      </c>
      <c r="F10" s="1"/>
    </row>
    <row r="11" spans="2:6">
      <c r="B11" s="1" t="s">
        <v>141</v>
      </c>
      <c r="C11" s="1">
        <v>5.2</v>
      </c>
      <c r="D11" s="1"/>
      <c r="E11" s="1">
        <v>5.2</v>
      </c>
      <c r="F11" s="1"/>
    </row>
    <row r="12" spans="2:6">
      <c r="B12" s="1" t="s">
        <v>142</v>
      </c>
      <c r="C12" s="1">
        <v>5.2</v>
      </c>
      <c r="D12" s="1"/>
      <c r="E12" s="1"/>
      <c r="F12" s="1">
        <v>4.8999999999999995</v>
      </c>
    </row>
    <row r="13" spans="2:6">
      <c r="B13" s="1" t="s">
        <v>143</v>
      </c>
      <c r="C13" s="1">
        <v>4.7</v>
      </c>
      <c r="D13" s="1"/>
      <c r="E13" s="1"/>
      <c r="F13" s="1">
        <v>4.8999999999999995</v>
      </c>
    </row>
    <row r="14" spans="2:6">
      <c r="B14" s="1" t="s">
        <v>144</v>
      </c>
      <c r="C14" s="1">
        <v>4.8</v>
      </c>
      <c r="D14" s="1"/>
      <c r="E14" s="1"/>
      <c r="F14" s="1">
        <v>4.8999999999999995</v>
      </c>
    </row>
    <row r="15" spans="2:6">
      <c r="B15" s="22" t="s">
        <v>146</v>
      </c>
      <c r="C15" s="22"/>
      <c r="D15" s="22"/>
      <c r="E15" s="22"/>
      <c r="F15" s="22"/>
    </row>
    <row r="17" spans="2:6">
      <c r="B17" s="4"/>
      <c r="C17" s="4" t="s">
        <v>145</v>
      </c>
      <c r="D17" s="4" t="s">
        <v>133</v>
      </c>
      <c r="E17" s="4" t="s">
        <v>134</v>
      </c>
      <c r="F17" s="4" t="s">
        <v>135</v>
      </c>
    </row>
    <row r="18" spans="2:6">
      <c r="B18" s="1" t="s">
        <v>136</v>
      </c>
      <c r="C18" s="1">
        <v>55.6</v>
      </c>
      <c r="D18" s="3">
        <v>54.866666666666674</v>
      </c>
      <c r="E18" s="3"/>
      <c r="F18" s="3"/>
    </row>
    <row r="19" spans="2:6">
      <c r="B19" s="1" t="s">
        <v>137</v>
      </c>
      <c r="C19" s="1">
        <v>54.8</v>
      </c>
      <c r="D19" s="3">
        <v>54.866666666666674</v>
      </c>
      <c r="E19" s="3"/>
      <c r="F19" s="3"/>
    </row>
    <row r="20" spans="2:6">
      <c r="B20" s="1" t="s">
        <v>138</v>
      </c>
      <c r="C20" s="1">
        <v>54.2</v>
      </c>
      <c r="D20" s="3">
        <v>54.866666666666674</v>
      </c>
      <c r="E20" s="3"/>
      <c r="F20" s="3"/>
    </row>
    <row r="21" spans="2:6">
      <c r="B21" s="1" t="s">
        <v>139</v>
      </c>
      <c r="C21" s="1">
        <v>54.9</v>
      </c>
      <c r="D21" s="3"/>
      <c r="E21" s="3">
        <v>55.1</v>
      </c>
      <c r="F21" s="3"/>
    </row>
    <row r="22" spans="2:6">
      <c r="B22" s="1" t="s">
        <v>140</v>
      </c>
      <c r="C22" s="1">
        <v>55</v>
      </c>
      <c r="D22" s="3"/>
      <c r="E22" s="3">
        <v>55.1</v>
      </c>
      <c r="F22" s="3"/>
    </row>
    <row r="23" spans="2:6">
      <c r="B23" s="1" t="s">
        <v>141</v>
      </c>
      <c r="C23" s="1">
        <v>55.3</v>
      </c>
      <c r="D23" s="3"/>
      <c r="E23" s="3">
        <v>55.1</v>
      </c>
      <c r="F23" s="3"/>
    </row>
    <row r="24" spans="2:6">
      <c r="B24" s="1" t="s">
        <v>142</v>
      </c>
      <c r="C24" s="1">
        <v>55.4</v>
      </c>
      <c r="D24" s="3"/>
      <c r="E24" s="3"/>
      <c r="F24" s="3">
        <v>55.766666666666659</v>
      </c>
    </row>
    <row r="25" spans="2:6">
      <c r="B25" s="1" t="s">
        <v>143</v>
      </c>
      <c r="C25" s="1">
        <v>55.8</v>
      </c>
      <c r="D25" s="3"/>
      <c r="E25" s="3"/>
      <c r="F25" s="3">
        <v>55.766666666666659</v>
      </c>
    </row>
    <row r="26" spans="2:6">
      <c r="B26" s="1" t="s">
        <v>144</v>
      </c>
      <c r="C26" s="1">
        <v>56.1</v>
      </c>
      <c r="D26" s="3"/>
      <c r="E26" s="3"/>
      <c r="F26" s="3">
        <v>55.766666666666659</v>
      </c>
    </row>
    <row r="27" spans="2:6">
      <c r="B27" s="22" t="s">
        <v>146</v>
      </c>
      <c r="C27" s="22"/>
      <c r="D27" s="22"/>
      <c r="E27" s="22"/>
      <c r="F27" s="22"/>
    </row>
  </sheetData>
  <mergeCells count="3">
    <mergeCell ref="B4:F4"/>
    <mergeCell ref="B27:F27"/>
    <mergeCell ref="B15:F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6DB6-E9E9-4633-81B9-3A24C4487517}">
  <dimension ref="A1:E39"/>
  <sheetViews>
    <sheetView workbookViewId="0">
      <selection activeCell="G27" sqref="G27"/>
    </sheetView>
  </sheetViews>
  <sheetFormatPr baseColWidth="10" defaultColWidth="8.83203125" defaultRowHeight="14"/>
  <cols>
    <col min="1" max="16384" width="8.83203125" style="6"/>
  </cols>
  <sheetData>
    <row r="1" spans="1:5">
      <c r="A1" s="1"/>
      <c r="B1" s="21" t="s">
        <v>154</v>
      </c>
      <c r="C1" s="21"/>
      <c r="D1" s="21"/>
      <c r="E1" s="21"/>
    </row>
    <row r="2" spans="1:5">
      <c r="A2" s="1"/>
      <c r="B2" s="1" t="s">
        <v>17</v>
      </c>
      <c r="C2" s="1" t="s">
        <v>18</v>
      </c>
      <c r="D2" s="1" t="s">
        <v>19</v>
      </c>
      <c r="E2" s="1" t="s">
        <v>20</v>
      </c>
    </row>
    <row r="3" spans="1:5">
      <c r="A3" s="8">
        <v>44927</v>
      </c>
      <c r="B3" s="1">
        <v>3.5</v>
      </c>
      <c r="C3" s="1">
        <v>-0.1</v>
      </c>
      <c r="D3" s="1">
        <v>4.375</v>
      </c>
      <c r="E3" s="1">
        <v>2.5</v>
      </c>
    </row>
    <row r="4" spans="1:5">
      <c r="A4" s="8">
        <v>44958</v>
      </c>
      <c r="B4" s="1">
        <v>4</v>
      </c>
      <c r="C4" s="1">
        <v>-0.1</v>
      </c>
      <c r="D4" s="1">
        <v>4.625</v>
      </c>
      <c r="E4" s="1">
        <v>3</v>
      </c>
    </row>
    <row r="5" spans="1:5">
      <c r="A5" s="8">
        <v>44986</v>
      </c>
      <c r="B5" s="1">
        <v>4.25</v>
      </c>
      <c r="C5" s="1">
        <v>-0.1</v>
      </c>
      <c r="D5" s="1">
        <v>4.875</v>
      </c>
      <c r="E5" s="1">
        <v>3.5</v>
      </c>
    </row>
    <row r="6" spans="1:5">
      <c r="A6" s="8">
        <v>45017</v>
      </c>
      <c r="B6" s="1">
        <v>4.25</v>
      </c>
      <c r="C6" s="1">
        <v>-0.1</v>
      </c>
      <c r="D6" s="1">
        <v>4.875</v>
      </c>
      <c r="E6" s="1">
        <v>3.5</v>
      </c>
    </row>
    <row r="7" spans="1:5">
      <c r="A7" s="8">
        <v>45047</v>
      </c>
      <c r="B7" s="1">
        <v>4.5</v>
      </c>
      <c r="C7" s="1">
        <v>-0.1</v>
      </c>
      <c r="D7" s="1">
        <v>5.125</v>
      </c>
      <c r="E7" s="1">
        <v>3.75</v>
      </c>
    </row>
    <row r="8" spans="1:5">
      <c r="A8" s="8">
        <v>45078</v>
      </c>
      <c r="B8" s="1">
        <v>5</v>
      </c>
      <c r="C8" s="1">
        <v>-0.1</v>
      </c>
      <c r="D8" s="1">
        <v>5.125</v>
      </c>
      <c r="E8" s="1">
        <v>4</v>
      </c>
    </row>
    <row r="9" spans="1:5">
      <c r="A9" s="8">
        <v>45108</v>
      </c>
      <c r="B9" s="1">
        <v>5</v>
      </c>
      <c r="C9" s="1">
        <v>-0.1</v>
      </c>
      <c r="D9" s="1">
        <v>5.375</v>
      </c>
      <c r="E9" s="1">
        <v>4</v>
      </c>
    </row>
    <row r="10" spans="1:5">
      <c r="A10" s="8">
        <v>45139</v>
      </c>
      <c r="B10" s="1">
        <v>5.25</v>
      </c>
      <c r="C10" s="1">
        <v>-0.1</v>
      </c>
      <c r="D10" s="1">
        <v>5.375</v>
      </c>
      <c r="E10" s="1">
        <v>4.25</v>
      </c>
    </row>
    <row r="11" spans="1:5">
      <c r="A11" s="8">
        <v>45170</v>
      </c>
      <c r="B11" s="1">
        <v>5.25</v>
      </c>
      <c r="C11" s="1">
        <v>-0.1</v>
      </c>
      <c r="D11" s="1">
        <v>5.375</v>
      </c>
      <c r="E11" s="1">
        <v>4.5</v>
      </c>
    </row>
    <row r="12" spans="1:5">
      <c r="A12" s="8">
        <v>45200</v>
      </c>
      <c r="B12" s="1">
        <v>5.25</v>
      </c>
      <c r="C12" s="1">
        <v>-0.1</v>
      </c>
      <c r="D12" s="1">
        <v>5.375</v>
      </c>
      <c r="E12" s="1">
        <v>4.5</v>
      </c>
    </row>
    <row r="13" spans="1:5">
      <c r="A13" s="8">
        <v>45231</v>
      </c>
      <c r="B13" s="1">
        <v>5.25</v>
      </c>
      <c r="C13" s="1">
        <v>-0.1</v>
      </c>
      <c r="D13" s="1">
        <v>5.375</v>
      </c>
      <c r="E13" s="1">
        <v>4.5</v>
      </c>
    </row>
    <row r="14" spans="1:5">
      <c r="A14" s="8">
        <v>45261</v>
      </c>
      <c r="B14" s="1">
        <v>5.25</v>
      </c>
      <c r="C14" s="1">
        <v>-0.1</v>
      </c>
      <c r="D14" s="1">
        <v>5.375</v>
      </c>
      <c r="E14" s="1">
        <v>4.5</v>
      </c>
    </row>
    <row r="15" spans="1:5">
      <c r="A15" s="8">
        <v>45292</v>
      </c>
      <c r="B15" s="1">
        <v>5.25</v>
      </c>
      <c r="C15" s="1">
        <v>-0.1</v>
      </c>
      <c r="D15" s="1">
        <v>5.375</v>
      </c>
      <c r="E15" s="1">
        <v>4.5</v>
      </c>
    </row>
    <row r="16" spans="1:5">
      <c r="A16" s="8">
        <v>45323</v>
      </c>
      <c r="B16" s="1">
        <v>5.25</v>
      </c>
      <c r="C16" s="1">
        <v>-0.1</v>
      </c>
      <c r="D16" s="1">
        <v>5.375</v>
      </c>
      <c r="E16" s="1">
        <v>4.5</v>
      </c>
    </row>
    <row r="17" spans="1:5">
      <c r="A17" s="8">
        <v>45352</v>
      </c>
      <c r="B17" s="1">
        <v>5.25</v>
      </c>
      <c r="C17" s="1">
        <v>0.05</v>
      </c>
      <c r="D17" s="1">
        <v>5.375</v>
      </c>
      <c r="E17" s="1">
        <v>4.5</v>
      </c>
    </row>
    <row r="18" spans="1:5">
      <c r="A18" s="8">
        <v>45383</v>
      </c>
      <c r="B18" s="1">
        <v>5.25</v>
      </c>
      <c r="C18" s="1">
        <v>0.05</v>
      </c>
      <c r="D18" s="1">
        <v>5.375</v>
      </c>
      <c r="E18" s="1">
        <v>4.5</v>
      </c>
    </row>
    <row r="19" spans="1:5">
      <c r="A19" s="8">
        <v>45413</v>
      </c>
      <c r="B19" s="1">
        <v>5.25</v>
      </c>
      <c r="C19" s="1">
        <v>0.05</v>
      </c>
      <c r="D19" s="1">
        <v>5.375</v>
      </c>
      <c r="E19" s="1">
        <v>4.5</v>
      </c>
    </row>
    <row r="20" spans="1:5">
      <c r="A20" s="8">
        <v>45444</v>
      </c>
      <c r="B20" s="1">
        <v>5.25</v>
      </c>
      <c r="C20" s="1">
        <v>0.05</v>
      </c>
      <c r="D20" s="1">
        <v>5.375</v>
      </c>
      <c r="E20" s="1">
        <v>4.25</v>
      </c>
    </row>
    <row r="21" spans="1:5">
      <c r="A21" s="8">
        <v>45474</v>
      </c>
      <c r="B21" s="1">
        <v>5.25</v>
      </c>
      <c r="C21" s="1">
        <v>0.05</v>
      </c>
      <c r="D21" s="1">
        <v>5.375</v>
      </c>
      <c r="E21" s="1">
        <v>4.25</v>
      </c>
    </row>
    <row r="22" spans="1:5">
      <c r="A22" s="8">
        <v>45505</v>
      </c>
      <c r="B22" s="1">
        <v>5</v>
      </c>
      <c r="C22" s="1">
        <v>0.25</v>
      </c>
      <c r="D22" s="1">
        <v>5.375</v>
      </c>
      <c r="E22" s="1">
        <v>4.25</v>
      </c>
    </row>
    <row r="23" spans="1:5">
      <c r="A23" s="8">
        <v>45536</v>
      </c>
      <c r="B23" s="1">
        <v>5</v>
      </c>
      <c r="C23" s="1">
        <v>0.25</v>
      </c>
      <c r="D23" s="1">
        <v>4.875</v>
      </c>
      <c r="E23" s="1">
        <v>3.5</v>
      </c>
    </row>
    <row r="24" spans="1:5">
      <c r="A24" s="8">
        <v>45566</v>
      </c>
      <c r="B24" s="1">
        <v>5</v>
      </c>
      <c r="C24" s="1">
        <v>0.25</v>
      </c>
      <c r="D24" s="1">
        <v>4.875</v>
      </c>
      <c r="E24" s="1">
        <v>3.25</v>
      </c>
    </row>
    <row r="25" spans="1:5">
      <c r="A25" s="8">
        <v>45597</v>
      </c>
      <c r="B25" s="1">
        <v>4.75</v>
      </c>
      <c r="C25" s="1">
        <v>0.25</v>
      </c>
      <c r="D25" s="1">
        <v>4.625</v>
      </c>
      <c r="E25" s="1">
        <v>3.25</v>
      </c>
    </row>
    <row r="26" spans="1:5">
      <c r="A26" s="8">
        <v>45627</v>
      </c>
      <c r="B26" s="1">
        <v>4.75</v>
      </c>
      <c r="C26" s="1">
        <v>0.25</v>
      </c>
      <c r="D26" s="1">
        <v>4.375</v>
      </c>
      <c r="E26" s="1">
        <v>3</v>
      </c>
    </row>
    <row r="27" spans="1:5">
      <c r="A27" s="8">
        <v>45658</v>
      </c>
      <c r="B27" s="1">
        <v>4.75</v>
      </c>
      <c r="C27" s="1">
        <v>0.5</v>
      </c>
      <c r="D27" s="1">
        <v>4.375</v>
      </c>
      <c r="E27" s="1">
        <v>3</v>
      </c>
    </row>
    <row r="28" spans="1:5">
      <c r="A28" s="8">
        <v>45689</v>
      </c>
      <c r="B28" s="1">
        <v>4.5</v>
      </c>
      <c r="C28" s="1">
        <v>0.5</v>
      </c>
      <c r="D28" s="1">
        <v>4.375</v>
      </c>
      <c r="E28" s="1">
        <v>2.75</v>
      </c>
    </row>
    <row r="29" spans="1:5">
      <c r="A29" s="8">
        <v>45717</v>
      </c>
      <c r="B29" s="1">
        <v>4.5</v>
      </c>
      <c r="C29" s="1">
        <v>0.5</v>
      </c>
      <c r="D29" s="1">
        <v>4.375</v>
      </c>
      <c r="E29" s="1">
        <v>2.5</v>
      </c>
    </row>
    <row r="30" spans="1:5">
      <c r="A30" s="8">
        <v>45748</v>
      </c>
      <c r="B30" s="1">
        <v>4.5</v>
      </c>
      <c r="C30" s="1">
        <v>0.5</v>
      </c>
      <c r="D30" s="1">
        <v>4.375</v>
      </c>
      <c r="E30" s="1">
        <v>2.25</v>
      </c>
    </row>
    <row r="31" spans="1:5">
      <c r="A31" s="8">
        <v>45778</v>
      </c>
      <c r="B31" s="1">
        <v>4.25</v>
      </c>
      <c r="C31" s="1">
        <v>0.5</v>
      </c>
      <c r="D31" s="1">
        <v>4.375</v>
      </c>
      <c r="E31" s="1">
        <v>2.25</v>
      </c>
    </row>
    <row r="32" spans="1:5">
      <c r="A32" s="8">
        <v>45809</v>
      </c>
      <c r="B32" s="1">
        <v>4.25</v>
      </c>
      <c r="C32" s="1">
        <v>0.5</v>
      </c>
      <c r="D32" s="1">
        <v>4.375</v>
      </c>
      <c r="E32" s="1">
        <v>2</v>
      </c>
    </row>
    <row r="33" spans="1:5">
      <c r="A33" s="8">
        <v>45839</v>
      </c>
      <c r="B33" s="1">
        <v>4.25</v>
      </c>
      <c r="C33" s="1">
        <v>0.5</v>
      </c>
      <c r="D33" s="1">
        <v>4.375</v>
      </c>
      <c r="E33" s="1">
        <v>2</v>
      </c>
    </row>
    <row r="34" spans="1:5">
      <c r="A34" s="8">
        <v>45870</v>
      </c>
      <c r="B34" s="1">
        <v>4</v>
      </c>
      <c r="C34" s="1">
        <v>0.5</v>
      </c>
      <c r="D34" s="1">
        <v>4.375</v>
      </c>
      <c r="E34" s="1">
        <v>2</v>
      </c>
    </row>
    <row r="35" spans="1:5">
      <c r="A35" s="8">
        <v>45901</v>
      </c>
      <c r="B35" s="1">
        <v>4</v>
      </c>
      <c r="C35" s="1">
        <v>0.5</v>
      </c>
      <c r="D35" s="1">
        <v>4.125</v>
      </c>
      <c r="E35" s="1">
        <v>2</v>
      </c>
    </row>
    <row r="36" spans="1:5">
      <c r="A36" s="8">
        <v>45931</v>
      </c>
      <c r="B36" s="1">
        <v>4</v>
      </c>
      <c r="C36" s="1">
        <v>0.5</v>
      </c>
      <c r="D36" s="1">
        <v>3.875</v>
      </c>
      <c r="E36" s="1">
        <v>2</v>
      </c>
    </row>
    <row r="37" spans="1:5">
      <c r="A37" s="8">
        <v>45962</v>
      </c>
      <c r="B37" s="1">
        <v>4</v>
      </c>
      <c r="C37" s="1">
        <v>0.5</v>
      </c>
      <c r="D37" s="1">
        <v>3.875</v>
      </c>
      <c r="E37" s="1">
        <v>2</v>
      </c>
    </row>
    <row r="38" spans="1:5">
      <c r="A38" s="8">
        <v>45992</v>
      </c>
      <c r="B38" s="1">
        <v>3.75</v>
      </c>
      <c r="C38" s="1">
        <v>0.75</v>
      </c>
      <c r="D38" s="1">
        <v>3.625</v>
      </c>
      <c r="E38" s="1">
        <v>2</v>
      </c>
    </row>
    <row r="39" spans="1:5" ht="40.5" customHeight="1">
      <c r="A39" s="39" t="s">
        <v>16</v>
      </c>
      <c r="B39" s="39"/>
      <c r="C39" s="39"/>
      <c r="D39" s="39"/>
      <c r="E39" s="39"/>
    </row>
  </sheetData>
  <mergeCells count="2">
    <mergeCell ref="A39:E39"/>
    <mergeCell ref="B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84D36-3EA5-4756-94AA-45559E23571E}">
  <dimension ref="A1:I6"/>
  <sheetViews>
    <sheetView workbookViewId="0">
      <selection sqref="A1:I1"/>
    </sheetView>
  </sheetViews>
  <sheetFormatPr baseColWidth="10" defaultColWidth="8.83203125" defaultRowHeight="14"/>
  <cols>
    <col min="1" max="1" width="17.33203125" style="6" bestFit="1" customWidth="1"/>
    <col min="2" max="16384" width="8.83203125" style="6"/>
  </cols>
  <sheetData>
    <row r="1" spans="1:9" ht="37" customHeight="1">
      <c r="A1" s="48" t="s">
        <v>153</v>
      </c>
      <c r="B1" s="48"/>
      <c r="C1" s="48"/>
      <c r="D1" s="48"/>
      <c r="E1" s="48"/>
      <c r="F1" s="48"/>
      <c r="G1" s="48"/>
      <c r="H1" s="48"/>
      <c r="I1" s="48"/>
    </row>
    <row r="2" spans="1:9">
      <c r="A2" s="1"/>
      <c r="B2" s="1" t="s">
        <v>17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13</v>
      </c>
      <c r="I2" s="1" t="s">
        <v>11</v>
      </c>
    </row>
    <row r="3" spans="1:9">
      <c r="A3" s="1" t="s">
        <v>26</v>
      </c>
      <c r="B3" s="3">
        <v>-1.409</v>
      </c>
      <c r="C3" s="3">
        <v>-2.6952000000000003</v>
      </c>
      <c r="D3" s="3">
        <v>1.3879999999999999</v>
      </c>
      <c r="E3" s="3">
        <v>2.1513999999999998</v>
      </c>
      <c r="F3" s="3">
        <v>-1.4086000000000001</v>
      </c>
      <c r="G3" s="3">
        <v>-1.0871999999999999</v>
      </c>
      <c r="H3" s="3">
        <v>-2.2741999999999996</v>
      </c>
      <c r="I3" s="3">
        <v>-3.1652</v>
      </c>
    </row>
    <row r="4" spans="1:9">
      <c r="A4" s="1" t="s">
        <v>27</v>
      </c>
      <c r="B4" s="3">
        <v>-8.8070000000000004</v>
      </c>
      <c r="C4" s="3">
        <v>-10.617999999999999</v>
      </c>
      <c r="D4" s="3">
        <v>-5.8484999999999996</v>
      </c>
      <c r="E4" s="3">
        <v>-3.3094999999999999</v>
      </c>
      <c r="F4" s="3">
        <v>-6.4409999999999998</v>
      </c>
      <c r="G4" s="3">
        <v>-2.7784999999999997</v>
      </c>
      <c r="H4" s="3">
        <v>-5.7590000000000003</v>
      </c>
      <c r="I4" s="3">
        <v>-6.8164999999999996</v>
      </c>
    </row>
    <row r="5" spans="1:9">
      <c r="A5" s="1">
        <v>2025</v>
      </c>
      <c r="B5" s="3">
        <v>-1.8149999999999999</v>
      </c>
      <c r="C5" s="3">
        <v>-3.8</v>
      </c>
      <c r="D5" s="3">
        <v>0.52</v>
      </c>
      <c r="E5" s="3">
        <v>-1.609</v>
      </c>
      <c r="F5" s="3">
        <v>-3.3940000000000001</v>
      </c>
      <c r="G5" s="3">
        <v>-0.61</v>
      </c>
      <c r="H5" s="3">
        <v>-1.764</v>
      </c>
      <c r="I5" s="3">
        <v>-7.34</v>
      </c>
    </row>
    <row r="6" spans="1:9">
      <c r="A6" s="16" t="s">
        <v>28</v>
      </c>
      <c r="B6" s="17"/>
      <c r="C6" s="17"/>
      <c r="D6" s="17"/>
      <c r="E6" s="17"/>
      <c r="F6" s="17"/>
      <c r="G6" s="17"/>
      <c r="H6" s="17"/>
      <c r="I6" s="18"/>
    </row>
  </sheetData>
  <mergeCells count="2">
    <mergeCell ref="A1:I1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66B9-D3E9-4E48-B2B4-7CD6DE99BFB3}">
  <dimension ref="A2:G64"/>
  <sheetViews>
    <sheetView workbookViewId="0">
      <selection activeCell="I25" sqref="I25"/>
    </sheetView>
  </sheetViews>
  <sheetFormatPr baseColWidth="10" defaultColWidth="8.83203125" defaultRowHeight="14"/>
  <cols>
    <col min="1" max="1" width="8.83203125" style="6"/>
    <col min="2" max="7" width="12.5" style="6" customWidth="1"/>
    <col min="8" max="16384" width="8.83203125" style="6"/>
  </cols>
  <sheetData>
    <row r="2" spans="1:7" ht="36" customHeight="1">
      <c r="A2" s="1"/>
      <c r="B2" s="7" t="s">
        <v>152</v>
      </c>
      <c r="C2" s="7"/>
      <c r="D2" s="7"/>
      <c r="E2" s="7"/>
      <c r="F2" s="7"/>
      <c r="G2" s="7"/>
    </row>
    <row r="3" spans="1:7" ht="36" customHeight="1">
      <c r="A3" s="1"/>
      <c r="B3" s="1" t="s">
        <v>13</v>
      </c>
      <c r="C3" s="1" t="s">
        <v>19</v>
      </c>
      <c r="D3" s="1" t="s">
        <v>18</v>
      </c>
      <c r="E3" s="1" t="s">
        <v>29</v>
      </c>
      <c r="F3" s="1" t="s">
        <v>11</v>
      </c>
      <c r="G3" s="1" t="s">
        <v>17</v>
      </c>
    </row>
    <row r="4" spans="1:7">
      <c r="A4" s="8">
        <v>44197</v>
      </c>
      <c r="B4" s="3">
        <f>5.895</f>
        <v>5.8949999999999996</v>
      </c>
      <c r="C4" s="3">
        <f>1.0579</f>
        <v>1.0579000000000001</v>
      </c>
      <c r="D4" s="3">
        <f>0.04</f>
        <v>0.04</v>
      </c>
      <c r="E4" s="3">
        <f>-0.532</f>
        <v>-0.53200000000000003</v>
      </c>
      <c r="F4" s="3">
        <f>3.153</f>
        <v>3.153</v>
      </c>
      <c r="G4" s="3">
        <f>0.279</f>
        <v>0.27900000000000003</v>
      </c>
    </row>
    <row r="5" spans="1:7">
      <c r="A5" s="8">
        <v>44228</v>
      </c>
      <c r="B5" s="3">
        <f>6.085</f>
        <v>6.085</v>
      </c>
      <c r="C5" s="3">
        <f>1.2434</f>
        <v>1.2434000000000001</v>
      </c>
      <c r="D5" s="3">
        <f>0.092</f>
        <v>9.1999999999999998E-2</v>
      </c>
      <c r="E5" s="3">
        <f>-0.389</f>
        <v>-0.38900000000000001</v>
      </c>
      <c r="F5" s="3">
        <f>3.244</f>
        <v>3.2440000000000002</v>
      </c>
      <c r="G5" s="3">
        <f>0.56</f>
        <v>0.56000000000000005</v>
      </c>
    </row>
    <row r="6" spans="1:7">
      <c r="A6" s="8">
        <v>44256</v>
      </c>
      <c r="B6" s="3">
        <f>6.192</f>
        <v>6.1920000000000002</v>
      </c>
      <c r="C6" s="3">
        <f>1.6041</f>
        <v>1.6041000000000001</v>
      </c>
      <c r="D6" s="3">
        <f>0.106</f>
        <v>0.106</v>
      </c>
      <c r="E6" s="3">
        <f>-0.316</f>
        <v>-0.316</v>
      </c>
      <c r="F6" s="3">
        <f>3.235</f>
        <v>3.2349999999999999</v>
      </c>
      <c r="G6" s="3">
        <f>0.777</f>
        <v>0.77700000000000002</v>
      </c>
    </row>
    <row r="7" spans="1:7">
      <c r="A7" s="8">
        <v>44287</v>
      </c>
      <c r="B7" s="3">
        <f>6.063</f>
        <v>6.0629999999999997</v>
      </c>
      <c r="C7" s="3">
        <f>1.62</f>
        <v>1.62</v>
      </c>
      <c r="D7" s="3">
        <f>0.097</f>
        <v>9.7000000000000003E-2</v>
      </c>
      <c r="E7" s="3">
        <f>-0.275</f>
        <v>-0.27500000000000002</v>
      </c>
      <c r="F7" s="3">
        <f>3.183</f>
        <v>3.1829999999999998</v>
      </c>
      <c r="G7" s="3">
        <f>0.776</f>
        <v>0.77600000000000002</v>
      </c>
    </row>
    <row r="8" spans="1:7">
      <c r="A8" s="8">
        <v>44317</v>
      </c>
      <c r="B8" s="3">
        <f>5.991</f>
        <v>5.9909999999999997</v>
      </c>
      <c r="C8" s="3">
        <f>1.6113</f>
        <v>1.6113</v>
      </c>
      <c r="D8" s="3">
        <f>0.086</f>
        <v>8.5999999999999993E-2</v>
      </c>
      <c r="E8" s="3">
        <f>-0.166</f>
        <v>-0.16600000000000001</v>
      </c>
      <c r="F8" s="3">
        <f>3.111</f>
        <v>3.1110000000000002</v>
      </c>
      <c r="G8" s="3">
        <f>0.823</f>
        <v>0.82299999999999995</v>
      </c>
    </row>
    <row r="9" spans="1:7">
      <c r="A9" s="8">
        <v>44348</v>
      </c>
      <c r="B9" s="3">
        <f>6.023</f>
        <v>6.0229999999999997</v>
      </c>
      <c r="C9" s="3">
        <f>1.51</f>
        <v>1.51</v>
      </c>
      <c r="D9" s="3">
        <f>0.062</f>
        <v>6.2E-2</v>
      </c>
      <c r="E9" s="3">
        <f>-0.205</f>
        <v>-0.20499999999999999</v>
      </c>
      <c r="F9" s="3">
        <f>3.12</f>
        <v>3.12</v>
      </c>
      <c r="G9" s="3">
        <f>0.764</f>
        <v>0.76400000000000001</v>
      </c>
    </row>
    <row r="10" spans="1:7">
      <c r="A10" s="8">
        <v>44378</v>
      </c>
      <c r="B10" s="3">
        <f>6.173</f>
        <v>6.173</v>
      </c>
      <c r="C10" s="3">
        <f>1.3112</f>
        <v>1.3111999999999999</v>
      </c>
      <c r="D10" s="3">
        <f>0.025</f>
        <v>2.5000000000000001E-2</v>
      </c>
      <c r="E10" s="3">
        <f>-0.348</f>
        <v>-0.34799999999999998</v>
      </c>
      <c r="F10" s="3">
        <f>2.966</f>
        <v>2.9660000000000002</v>
      </c>
      <c r="G10" s="3">
        <f>0.617</f>
        <v>0.61699999999999999</v>
      </c>
    </row>
    <row r="11" spans="1:7">
      <c r="A11" s="8">
        <v>44409</v>
      </c>
      <c r="B11" s="3">
        <f>6.228</f>
        <v>6.2279999999999998</v>
      </c>
      <c r="C11" s="3">
        <f>1.2773</f>
        <v>1.2773000000000001</v>
      </c>
      <c r="D11" s="3">
        <f>0.02</f>
        <v>0.02</v>
      </c>
      <c r="E11" s="3">
        <f>-0.462</f>
        <v>-0.46200000000000002</v>
      </c>
      <c r="F11" s="3">
        <f>2.858</f>
        <v>2.8580000000000001</v>
      </c>
      <c r="G11" s="3">
        <f>0.569</f>
        <v>0.56899999999999995</v>
      </c>
    </row>
    <row r="12" spans="1:7">
      <c r="A12" s="8">
        <v>44440</v>
      </c>
      <c r="B12" s="3">
        <f>6.178</f>
        <v>6.1779999999999999</v>
      </c>
      <c r="C12" s="3">
        <f>1.3646</f>
        <v>1.3646</v>
      </c>
      <c r="D12" s="3">
        <f>0.05</f>
        <v>0.05</v>
      </c>
      <c r="E12" s="3">
        <f>-0.303</f>
        <v>-0.30299999999999999</v>
      </c>
      <c r="F12" s="3">
        <f>2.866</f>
        <v>2.8660000000000001</v>
      </c>
      <c r="G12" s="3">
        <f>0.812</f>
        <v>0.81200000000000006</v>
      </c>
    </row>
    <row r="13" spans="1:7">
      <c r="A13" s="8">
        <v>44470</v>
      </c>
      <c r="B13" s="3">
        <f>6.326</f>
        <v>6.3259999999999996</v>
      </c>
      <c r="C13" s="3">
        <f>1.577</f>
        <v>1.577</v>
      </c>
      <c r="D13" s="3">
        <f>0.087</f>
        <v>8.6999999999999994E-2</v>
      </c>
      <c r="E13" s="3">
        <f>-0.146</f>
        <v>-0.14599999999999999</v>
      </c>
      <c r="F13" s="3">
        <f>2.978</f>
        <v>2.9780000000000002</v>
      </c>
      <c r="G13" s="3">
        <f>1.098</f>
        <v>1.0980000000000001</v>
      </c>
    </row>
    <row r="14" spans="1:7">
      <c r="A14" s="8">
        <v>44501</v>
      </c>
      <c r="B14" s="3">
        <f>6.349</f>
        <v>6.3490000000000002</v>
      </c>
      <c r="C14" s="3">
        <f>1.5551</f>
        <v>1.5550999999999999</v>
      </c>
      <c r="D14" s="3">
        <f>0.074</f>
        <v>7.3999999999999996E-2</v>
      </c>
      <c r="E14" s="3">
        <f>-0.252</f>
        <v>-0.252</v>
      </c>
      <c r="F14" s="3">
        <f>2.909</f>
        <v>2.9089999999999998</v>
      </c>
      <c r="G14" s="3">
        <f>0.932</f>
        <v>0.93200000000000005</v>
      </c>
    </row>
    <row r="15" spans="1:7">
      <c r="A15" s="8">
        <v>44531</v>
      </c>
      <c r="B15" s="3">
        <f>6.408</f>
        <v>6.4080000000000004</v>
      </c>
      <c r="C15" s="3">
        <f>1.4597</f>
        <v>1.4597</v>
      </c>
      <c r="D15" s="3">
        <f>0.057</f>
        <v>5.7000000000000002E-2</v>
      </c>
      <c r="E15" s="3">
        <f>-0.313</f>
        <v>-0.313</v>
      </c>
      <c r="F15" s="3">
        <f>2.855</f>
        <v>2.855</v>
      </c>
      <c r="G15" s="3">
        <f>0.825</f>
        <v>0.82499999999999996</v>
      </c>
    </row>
    <row r="16" spans="1:7">
      <c r="A16" s="8">
        <v>44562</v>
      </c>
      <c r="B16" s="3">
        <f>6.603</f>
        <v>6.6029999999999998</v>
      </c>
      <c r="C16" s="3">
        <f>1.763</f>
        <v>1.7629999999999999</v>
      </c>
      <c r="D16" s="3">
        <f>0.136</f>
        <v>0.13600000000000001</v>
      </c>
      <c r="E16" s="3">
        <f>-0.056</f>
        <v>-5.6000000000000001E-2</v>
      </c>
      <c r="F16" s="3">
        <f>2.761</f>
        <v>2.7610000000000001</v>
      </c>
      <c r="G16" s="3">
        <f>1.169</f>
        <v>1.169</v>
      </c>
    </row>
    <row r="17" spans="1:7">
      <c r="A17" s="8">
        <v>44593</v>
      </c>
      <c r="B17" s="3">
        <f>6.755</f>
        <v>6.7549999999999999</v>
      </c>
      <c r="C17" s="3">
        <f>1.9328</f>
        <v>1.9328000000000001</v>
      </c>
      <c r="D17" s="3">
        <f>0.206</f>
        <v>0.20599999999999999</v>
      </c>
      <c r="E17" s="3">
        <f>0.211</f>
        <v>0.21099999999999999</v>
      </c>
      <c r="F17" s="3">
        <f>2.787</f>
        <v>2.7869999999999999</v>
      </c>
      <c r="G17" s="3">
        <f>1.447</f>
        <v>1.4470000000000001</v>
      </c>
    </row>
    <row r="18" spans="1:7">
      <c r="A18" s="8">
        <v>44621</v>
      </c>
      <c r="B18" s="3">
        <f>6.827</f>
        <v>6.827</v>
      </c>
      <c r="C18" s="3">
        <f>2.1242</f>
        <v>2.1242000000000001</v>
      </c>
      <c r="D18" s="3">
        <f>0.2</f>
        <v>0.2</v>
      </c>
      <c r="E18" s="3">
        <f>0.329</f>
        <v>0.32900000000000001</v>
      </c>
      <c r="F18" s="3">
        <f>2.815</f>
        <v>2.8149999999999999</v>
      </c>
      <c r="G18" s="3">
        <f>1.517</f>
        <v>1.5169999999999999</v>
      </c>
    </row>
    <row r="19" spans="1:7">
      <c r="A19" s="8">
        <v>44652</v>
      </c>
      <c r="B19" s="3">
        <f>7.083</f>
        <v>7.0830000000000002</v>
      </c>
      <c r="C19" s="3">
        <f>2.7472</f>
        <v>2.7471999999999999</v>
      </c>
      <c r="D19" s="3">
        <f>0.239</f>
        <v>0.23899999999999999</v>
      </c>
      <c r="E19" s="3">
        <f>0.79</f>
        <v>0.79</v>
      </c>
      <c r="F19" s="3">
        <f>2.802</f>
        <v>2.802</v>
      </c>
      <c r="G19" s="3">
        <f>1.819</f>
        <v>1.819</v>
      </c>
    </row>
    <row r="20" spans="1:7">
      <c r="A20" s="8">
        <v>44682</v>
      </c>
      <c r="B20" s="3">
        <f>7.34</f>
        <v>7.34</v>
      </c>
      <c r="C20" s="3">
        <f>2.8884</f>
        <v>2.8883999999999999</v>
      </c>
      <c r="D20" s="3">
        <f>0.24</f>
        <v>0.24</v>
      </c>
      <c r="E20" s="3">
        <f>0.997</f>
        <v>0.997</v>
      </c>
      <c r="F20" s="3">
        <f>2.802</f>
        <v>2.802</v>
      </c>
      <c r="G20" s="3">
        <f>1.9</f>
        <v>1.9</v>
      </c>
    </row>
    <row r="21" spans="1:7">
      <c r="A21" s="8">
        <v>44713</v>
      </c>
      <c r="B21" s="3">
        <f>7.487</f>
        <v>7.4870000000000001</v>
      </c>
      <c r="C21" s="3">
        <f>3.1302</f>
        <v>3.1301999999999999</v>
      </c>
      <c r="D21" s="3">
        <f>0.243</f>
        <v>0.24299999999999999</v>
      </c>
      <c r="E21" s="3">
        <f>1.504</f>
        <v>1.504</v>
      </c>
      <c r="F21" s="3">
        <f>2.819</f>
        <v>2.819</v>
      </c>
      <c r="G21" s="3">
        <f>2.404</f>
        <v>2.4039999999999999</v>
      </c>
    </row>
    <row r="22" spans="1:7">
      <c r="A22" s="8">
        <v>44743</v>
      </c>
      <c r="B22" s="3">
        <f>7.389</f>
        <v>7.3890000000000002</v>
      </c>
      <c r="C22" s="3">
        <f>2.8909</f>
        <v>2.8908999999999998</v>
      </c>
      <c r="D22" s="3">
        <f>0.228</f>
        <v>0.22800000000000001</v>
      </c>
      <c r="E22" s="3">
        <f>1.142</f>
        <v>1.1419999999999999</v>
      </c>
      <c r="F22" s="3">
        <f>2.8</f>
        <v>2.8</v>
      </c>
      <c r="G22" s="3">
        <f>2.062</f>
        <v>2.0619999999999998</v>
      </c>
    </row>
    <row r="23" spans="1:7">
      <c r="A23" s="8">
        <v>44774</v>
      </c>
      <c r="B23" s="3">
        <f>7.254</f>
        <v>7.2539999999999996</v>
      </c>
      <c r="C23" s="3">
        <f>2.8934</f>
        <v>2.8934000000000002</v>
      </c>
      <c r="D23" s="3">
        <f>0.2</f>
        <v>0.2</v>
      </c>
      <c r="E23" s="3">
        <f>1.106</f>
        <v>1.1060000000000001</v>
      </c>
      <c r="F23" s="3">
        <f>2.685</f>
        <v>2.6850000000000001</v>
      </c>
      <c r="G23" s="3">
        <f>2.254</f>
        <v>2.254</v>
      </c>
    </row>
    <row r="24" spans="1:7">
      <c r="A24" s="8">
        <v>44805</v>
      </c>
      <c r="B24" s="3">
        <f>7.234</f>
        <v>7.234</v>
      </c>
      <c r="C24" s="3">
        <f>3.5062</f>
        <v>3.5062000000000002</v>
      </c>
      <c r="D24" s="3">
        <f>0.249</f>
        <v>0.249</v>
      </c>
      <c r="E24" s="3">
        <f>1.83</f>
        <v>1.83</v>
      </c>
      <c r="F24" s="3">
        <f>2.665</f>
        <v>2.665</v>
      </c>
      <c r="G24" s="3">
        <f>3.403</f>
        <v>3.403</v>
      </c>
    </row>
    <row r="25" spans="1:7">
      <c r="A25" s="8">
        <v>44835</v>
      </c>
      <c r="B25" s="3">
        <f>7.442</f>
        <v>7.4420000000000002</v>
      </c>
      <c r="C25" s="3">
        <f>3.9684</f>
        <v>3.9683999999999999</v>
      </c>
      <c r="D25" s="3">
        <f>0.252</f>
        <v>0.252</v>
      </c>
      <c r="E25" s="3">
        <f>2.203</f>
        <v>2.2029999999999998</v>
      </c>
      <c r="F25" s="3">
        <f>2.712</f>
        <v>2.7120000000000002</v>
      </c>
      <c r="G25" s="3">
        <f>3.966</f>
        <v>3.9660000000000002</v>
      </c>
    </row>
    <row r="26" spans="1:7">
      <c r="A26" s="8">
        <v>44866</v>
      </c>
      <c r="B26" s="3">
        <f>7.33</f>
        <v>7.33</v>
      </c>
      <c r="C26" s="3">
        <f>3.8675</f>
        <v>3.8675000000000002</v>
      </c>
      <c r="D26" s="3">
        <f>0.251</f>
        <v>0.251</v>
      </c>
      <c r="E26" s="3">
        <f>2.074</f>
        <v>2.0739999999999998</v>
      </c>
      <c r="F26" s="3">
        <f>2.782</f>
        <v>2.782</v>
      </c>
      <c r="G26" s="3">
        <f>3.289</f>
        <v>3.2890000000000001</v>
      </c>
    </row>
    <row r="27" spans="1:7">
      <c r="A27" s="8">
        <v>44896</v>
      </c>
      <c r="B27" s="3">
        <f>7.281</f>
        <v>7.2809999999999997</v>
      </c>
      <c r="C27" s="3">
        <f>3.6185</f>
        <v>3.6185</v>
      </c>
      <c r="D27" s="3">
        <f>0.33</f>
        <v>0.33</v>
      </c>
      <c r="E27" s="3">
        <f>2.134</f>
        <v>2.1339999999999999</v>
      </c>
      <c r="F27" s="3">
        <f>2.896</f>
        <v>2.8959999999999999</v>
      </c>
      <c r="G27" s="3">
        <f>3.377</f>
        <v>3.3769999999999998</v>
      </c>
    </row>
    <row r="28" spans="1:7">
      <c r="A28" s="8">
        <v>44927</v>
      </c>
      <c r="B28" s="3">
        <f>7.335</f>
        <v>7.335</v>
      </c>
      <c r="C28" s="3">
        <f>3.5429</f>
        <v>3.5428999999999999</v>
      </c>
      <c r="D28" s="3">
        <f>0.47</f>
        <v>0.47</v>
      </c>
      <c r="E28" s="3">
        <f>2.218</f>
        <v>2.218</v>
      </c>
      <c r="F28" s="3">
        <f>2.88</f>
        <v>2.88</v>
      </c>
      <c r="G28" s="3">
        <f>3.404</f>
        <v>3.4039999999999999</v>
      </c>
    </row>
    <row r="29" spans="1:7">
      <c r="A29" s="8">
        <v>44958</v>
      </c>
      <c r="B29" s="3">
        <f>7.352</f>
        <v>7.3520000000000003</v>
      </c>
      <c r="C29" s="3">
        <f>3.7455</f>
        <v>3.7454999999999998</v>
      </c>
      <c r="D29" s="3">
        <f>0.504</f>
        <v>0.504</v>
      </c>
      <c r="E29" s="3">
        <f>2.41</f>
        <v>2.41</v>
      </c>
      <c r="F29" s="3">
        <f>2.905</f>
        <v>2.9049999999999998</v>
      </c>
      <c r="G29" s="3">
        <f>3.446</f>
        <v>3.4460000000000002</v>
      </c>
    </row>
    <row r="30" spans="1:7">
      <c r="A30" s="8">
        <v>44986</v>
      </c>
      <c r="B30" s="3">
        <f>7.356</f>
        <v>7.3559999999999999</v>
      </c>
      <c r="C30" s="3">
        <f>3.663</f>
        <v>3.6629999999999998</v>
      </c>
      <c r="D30" s="3">
        <f>0.376</f>
        <v>0.376</v>
      </c>
      <c r="E30" s="3">
        <f>2.4</f>
        <v>2.4</v>
      </c>
      <c r="F30" s="3">
        <f>2.879</f>
        <v>2.879</v>
      </c>
      <c r="G30" s="3">
        <f>3.54</f>
        <v>3.54</v>
      </c>
    </row>
    <row r="31" spans="1:7">
      <c r="A31" s="8">
        <v>45017</v>
      </c>
      <c r="B31" s="3">
        <f>7.185</f>
        <v>7.1849999999999996</v>
      </c>
      <c r="C31" s="3">
        <f>3.4549</f>
        <v>3.4548999999999999</v>
      </c>
      <c r="D31" s="3">
        <f>0.463</f>
        <v>0.46300000000000002</v>
      </c>
      <c r="E31" s="3">
        <f>2.359</f>
        <v>2.359</v>
      </c>
      <c r="F31" s="3">
        <f>2.831</f>
        <v>2.831</v>
      </c>
      <c r="G31" s="3">
        <f>3.624</f>
        <v>3.6240000000000001</v>
      </c>
    </row>
    <row r="32" spans="1:7">
      <c r="A32" s="8">
        <v>45047</v>
      </c>
      <c r="B32" s="3">
        <f>7.011</f>
        <v>7.0110000000000001</v>
      </c>
      <c r="C32" s="3">
        <f>3.5769</f>
        <v>3.5769000000000002</v>
      </c>
      <c r="D32" s="3">
        <f>0.412</f>
        <v>0.41199999999999998</v>
      </c>
      <c r="E32" s="3">
        <f>2.354</f>
        <v>2.3540000000000001</v>
      </c>
      <c r="F32" s="3">
        <f>2.72</f>
        <v>2.72</v>
      </c>
      <c r="G32" s="3">
        <f>3.936</f>
        <v>3.9359999999999999</v>
      </c>
    </row>
    <row r="33" spans="1:7">
      <c r="A33" s="8">
        <v>45078</v>
      </c>
      <c r="B33" s="3">
        <f>7.035</f>
        <v>7.0350000000000001</v>
      </c>
      <c r="C33" s="3">
        <f>3.7406</f>
        <v>3.7406000000000001</v>
      </c>
      <c r="D33" s="3">
        <f>0.407</f>
        <v>0.40699999999999997</v>
      </c>
      <c r="E33" s="3">
        <f>2.399</f>
        <v>2.399</v>
      </c>
      <c r="F33" s="3">
        <f>2.68</f>
        <v>2.68</v>
      </c>
      <c r="G33" s="3">
        <f>4.321</f>
        <v>4.3209999999999997</v>
      </c>
    </row>
    <row r="34" spans="1:7">
      <c r="A34" s="8">
        <v>45108</v>
      </c>
      <c r="B34" s="3">
        <f>7.108</f>
        <v>7.1079999999999997</v>
      </c>
      <c r="C34" s="3">
        <f>3.8907</f>
        <v>3.8906999999999998</v>
      </c>
      <c r="D34" s="3">
        <f>0.464</f>
        <v>0.46400000000000002</v>
      </c>
      <c r="E34" s="3">
        <f>2.487</f>
        <v>2.4870000000000001</v>
      </c>
      <c r="F34" s="3">
        <f>2.642</f>
        <v>2.6419999999999999</v>
      </c>
      <c r="G34" s="3">
        <f>4.411</f>
        <v>4.4109999999999996</v>
      </c>
    </row>
    <row r="35" spans="1:7">
      <c r="A35" s="8">
        <v>45139</v>
      </c>
      <c r="B35" s="3">
        <f>7.191</f>
        <v>7.1909999999999998</v>
      </c>
      <c r="C35" s="3">
        <f>4.1625</f>
        <v>4.1624999999999996</v>
      </c>
      <c r="D35" s="3">
        <f>0.635</f>
        <v>0.63500000000000001</v>
      </c>
      <c r="E35" s="3">
        <f>2.578</f>
        <v>2.5779999999999998</v>
      </c>
      <c r="F35" s="3">
        <f>2.604</f>
        <v>2.6040000000000001</v>
      </c>
      <c r="G35" s="3">
        <f>4.495</f>
        <v>4.4950000000000001</v>
      </c>
    </row>
    <row r="36" spans="1:7">
      <c r="A36" s="8">
        <v>45170</v>
      </c>
      <c r="B36" s="3">
        <f>7.191</f>
        <v>7.1909999999999998</v>
      </c>
      <c r="C36" s="3">
        <f>4.3647</f>
        <v>4.3647</v>
      </c>
      <c r="D36" s="3">
        <f>0.708</f>
        <v>0.70799999999999996</v>
      </c>
      <c r="E36" s="3">
        <f>2.698</f>
        <v>2.698</v>
      </c>
      <c r="F36" s="3">
        <f>2.668</f>
        <v>2.6680000000000001</v>
      </c>
      <c r="G36" s="3">
        <f>4.387</f>
        <v>4.3869999999999996</v>
      </c>
    </row>
    <row r="37" spans="1:7">
      <c r="A37" s="8">
        <v>45200</v>
      </c>
      <c r="B37" s="3">
        <f>7.33</f>
        <v>7.33</v>
      </c>
      <c r="C37" s="3">
        <f>4.7972</f>
        <v>4.7972000000000001</v>
      </c>
      <c r="D37" s="3">
        <f>0.821</f>
        <v>0.82099999999999995</v>
      </c>
      <c r="E37" s="3">
        <f>2.849</f>
        <v>2.8490000000000002</v>
      </c>
      <c r="F37" s="3">
        <f>2.702</f>
        <v>2.702</v>
      </c>
      <c r="G37" s="3">
        <f>4.538</f>
        <v>4.5380000000000003</v>
      </c>
    </row>
    <row r="38" spans="1:7">
      <c r="A38" s="8">
        <v>45231</v>
      </c>
      <c r="B38" s="3">
        <f>7.274</f>
        <v>7.274</v>
      </c>
      <c r="C38" s="3">
        <f>4.4913</f>
        <v>4.4912999999999998</v>
      </c>
      <c r="D38" s="3">
        <f>0.808</f>
        <v>0.80800000000000005</v>
      </c>
      <c r="E38" s="3">
        <f>2.616</f>
        <v>2.6160000000000001</v>
      </c>
      <c r="F38" s="3">
        <f>2.672</f>
        <v>2.6720000000000002</v>
      </c>
      <c r="G38" s="3">
        <f>4.236</f>
        <v>4.2359999999999998</v>
      </c>
    </row>
    <row r="39" spans="1:7">
      <c r="A39" s="8">
        <v>45261</v>
      </c>
      <c r="B39" s="3">
        <f>7.22</f>
        <v>7.22</v>
      </c>
      <c r="C39" s="3">
        <f>4.0084</f>
        <v>4.0084</v>
      </c>
      <c r="D39" s="3">
        <f>0.663</f>
        <v>0.66300000000000003</v>
      </c>
      <c r="E39" s="3">
        <f>2.114</f>
        <v>2.1139999999999999</v>
      </c>
      <c r="F39" s="3">
        <f>2.637</f>
        <v>2.637</v>
      </c>
      <c r="G39" s="3">
        <f>3.777</f>
        <v>3.7770000000000001</v>
      </c>
    </row>
    <row r="40" spans="1:7">
      <c r="A40" s="8">
        <v>45292</v>
      </c>
      <c r="B40" s="3">
        <f>7.182</f>
        <v>7.1820000000000004</v>
      </c>
      <c r="C40" s="3">
        <f>4.0345</f>
        <v>4.0345000000000004</v>
      </c>
      <c r="D40" s="3">
        <f>0.646</f>
        <v>0.64600000000000002</v>
      </c>
      <c r="E40" s="3">
        <f>2.221</f>
        <v>2.2210000000000001</v>
      </c>
      <c r="F40" s="3">
        <f>2.509</f>
        <v>2.5089999999999999</v>
      </c>
      <c r="G40" s="3">
        <f>3.834</f>
        <v>3.8340000000000001</v>
      </c>
    </row>
    <row r="41" spans="1:7">
      <c r="A41" s="8">
        <v>45323</v>
      </c>
      <c r="B41" s="3">
        <f>7.079</f>
        <v>7.0789999999999997</v>
      </c>
      <c r="C41" s="3">
        <f>4.2098</f>
        <v>4.2098000000000004</v>
      </c>
      <c r="D41" s="3">
        <f>0.718</f>
        <v>0.71799999999999997</v>
      </c>
      <c r="E41" s="3">
        <f>2.367</f>
        <v>2.367</v>
      </c>
      <c r="F41" s="3">
        <f>2.409</f>
        <v>2.4089999999999998</v>
      </c>
      <c r="G41" s="3">
        <f>4.058</f>
        <v>4.0579999999999998</v>
      </c>
    </row>
    <row r="42" spans="1:7">
      <c r="A42" s="8">
        <v>45352</v>
      </c>
      <c r="B42" s="3">
        <f>7.06</f>
        <v>7.06</v>
      </c>
      <c r="C42" s="3">
        <f>4.203</f>
        <v>4.2030000000000003</v>
      </c>
      <c r="D42" s="3">
        <f>0.741</f>
        <v>0.74099999999999999</v>
      </c>
      <c r="E42" s="3">
        <f>2.361</f>
        <v>2.3610000000000002</v>
      </c>
      <c r="F42" s="3">
        <f>2.319</f>
        <v>2.319</v>
      </c>
      <c r="G42" s="3">
        <f>4.009</f>
        <v>4.0090000000000003</v>
      </c>
    </row>
    <row r="43" spans="1:7">
      <c r="A43" s="8">
        <v>45383</v>
      </c>
      <c r="B43" s="3">
        <f>7.165</f>
        <v>7.165</v>
      </c>
      <c r="C43" s="3">
        <f>4.535</f>
        <v>4.5350000000000001</v>
      </c>
      <c r="D43" s="3">
        <f>0.844</f>
        <v>0.84399999999999997</v>
      </c>
      <c r="E43" s="3">
        <f>2.472</f>
        <v>2.472</v>
      </c>
      <c r="F43" s="3">
        <f>2.283</f>
        <v>2.2829999999999999</v>
      </c>
      <c r="G43" s="3">
        <f>4.202</f>
        <v>4.202</v>
      </c>
    </row>
    <row r="44" spans="1:7">
      <c r="A44" s="8">
        <v>45413</v>
      </c>
      <c r="B44" s="3">
        <f>7.079</f>
        <v>7.0789999999999997</v>
      </c>
      <c r="C44" s="3">
        <f>4.4814</f>
        <v>4.4813999999999998</v>
      </c>
      <c r="D44" s="3">
        <f>0.963</f>
        <v>0.96299999999999997</v>
      </c>
      <c r="E44" s="3">
        <f>2.534</f>
        <v>2.5339999999999998</v>
      </c>
      <c r="F44" s="3">
        <f>2.307</f>
        <v>2.3069999999999999</v>
      </c>
      <c r="G44" s="3">
        <f>4.213</f>
        <v>4.2130000000000001</v>
      </c>
    </row>
    <row r="45" spans="1:7">
      <c r="A45" s="8">
        <v>45444</v>
      </c>
      <c r="B45" s="3">
        <f>6.997</f>
        <v>6.9969999999999999</v>
      </c>
      <c r="C45" s="3">
        <f>4.3048</f>
        <v>4.3048000000000002</v>
      </c>
      <c r="D45" s="3">
        <f>0.997</f>
        <v>0.997</v>
      </c>
      <c r="E45" s="3">
        <f>2.487</f>
        <v>2.4870000000000001</v>
      </c>
      <c r="F45" s="3">
        <f>2.271</f>
        <v>2.2709999999999999</v>
      </c>
      <c r="G45" s="3">
        <f>4.144</f>
        <v>4.1440000000000001</v>
      </c>
    </row>
    <row r="46" spans="1:7">
      <c r="A46" s="8">
        <v>45474</v>
      </c>
      <c r="B46" s="3">
        <f>6.972</f>
        <v>6.9720000000000004</v>
      </c>
      <c r="C46" s="3">
        <f>4.2474</f>
        <v>4.2473999999999998</v>
      </c>
      <c r="D46" s="3">
        <f>1.064</f>
        <v>1.0640000000000001</v>
      </c>
      <c r="E46" s="3">
        <f>2.478</f>
        <v>2.4780000000000002</v>
      </c>
      <c r="F46" s="3">
        <f>2.237</f>
        <v>2.2370000000000001</v>
      </c>
      <c r="G46" s="3">
        <f>4.119</f>
        <v>4.1189999999999998</v>
      </c>
    </row>
    <row r="47" spans="1:7">
      <c r="A47" s="8">
        <v>45505</v>
      </c>
      <c r="B47" s="3">
        <f>6.869</f>
        <v>6.8689999999999998</v>
      </c>
      <c r="C47" s="3">
        <f>3.8664</f>
        <v>3.8664000000000001</v>
      </c>
      <c r="D47" s="3">
        <f>0.883</f>
        <v>0.88300000000000001</v>
      </c>
      <c r="E47" s="3">
        <f>2.235</f>
        <v>2.2349999999999999</v>
      </c>
      <c r="F47" s="3">
        <f>2.173</f>
        <v>2.173</v>
      </c>
      <c r="G47" s="3">
        <f>3.928</f>
        <v>3.9279999999999999</v>
      </c>
    </row>
    <row r="48" spans="1:7">
      <c r="A48" s="8">
        <v>45536</v>
      </c>
      <c r="B48" s="3">
        <f>6.8</f>
        <v>6.8</v>
      </c>
      <c r="C48" s="3">
        <f>3.7265</f>
        <v>3.7265000000000001</v>
      </c>
      <c r="D48" s="3">
        <f>0.86</f>
        <v>0.86</v>
      </c>
      <c r="E48" s="3">
        <f>2.177</f>
        <v>2.177</v>
      </c>
      <c r="F48" s="3">
        <f>2.104</f>
        <v>2.1040000000000001</v>
      </c>
      <c r="G48" s="3">
        <f>3.894</f>
        <v>3.8940000000000001</v>
      </c>
    </row>
    <row r="49" spans="1:7">
      <c r="A49" s="8">
        <v>45566</v>
      </c>
      <c r="B49" s="3">
        <f>6.809</f>
        <v>6.8090000000000002</v>
      </c>
      <c r="C49" s="3">
        <f>4.0928</f>
        <v>4.0928000000000004</v>
      </c>
      <c r="D49" s="3">
        <f>0.942</f>
        <v>0.94199999999999995</v>
      </c>
      <c r="E49" s="3">
        <f>2.247</f>
        <v>2.2469999999999999</v>
      </c>
      <c r="F49" s="3">
        <f>2.152</f>
        <v>2.1520000000000001</v>
      </c>
      <c r="G49" s="3">
        <f>4.176</f>
        <v>4.1760000000000002</v>
      </c>
    </row>
    <row r="50" spans="1:7">
      <c r="A50" s="8">
        <v>45597</v>
      </c>
      <c r="B50" s="3">
        <f>6.835</f>
        <v>6.835</v>
      </c>
      <c r="C50" s="3">
        <f>4.3512</f>
        <v>4.3512000000000004</v>
      </c>
      <c r="D50" s="3">
        <f>1.038</f>
        <v>1.038</v>
      </c>
      <c r="E50" s="3">
        <f>2.315</f>
        <v>2.3149999999999999</v>
      </c>
      <c r="F50" s="3">
        <f>2.086</f>
        <v>2.0859999999999999</v>
      </c>
      <c r="G50" s="3">
        <f>4.43</f>
        <v>4.43</v>
      </c>
    </row>
    <row r="51" spans="1:7">
      <c r="A51" s="8">
        <v>45627</v>
      </c>
      <c r="B51" s="3">
        <f>6.743</f>
        <v>6.7430000000000003</v>
      </c>
      <c r="C51" s="3">
        <f>4.4006</f>
        <v>4.4005999999999998</v>
      </c>
      <c r="D51" s="3">
        <f>1.077</f>
        <v>1.077</v>
      </c>
      <c r="E51" s="3">
        <f>2.22</f>
        <v>2.2200000000000002</v>
      </c>
      <c r="F51" s="3">
        <f>1.81</f>
        <v>1.81</v>
      </c>
      <c r="G51" s="3">
        <f>4.432</f>
        <v>4.4320000000000004</v>
      </c>
    </row>
    <row r="52" spans="1:7">
      <c r="A52" s="8">
        <v>45658</v>
      </c>
      <c r="B52" s="3">
        <f>6.75</f>
        <v>6.75</v>
      </c>
      <c r="C52" s="3">
        <f>4.6248</f>
        <v>4.6247999999999996</v>
      </c>
      <c r="D52" s="3">
        <f>1.19</f>
        <v>1.19</v>
      </c>
      <c r="E52" s="3">
        <f>2.524</f>
        <v>2.524</v>
      </c>
      <c r="F52" s="3">
        <f>1.642</f>
        <v>1.6419999999999999</v>
      </c>
      <c r="G52" s="3">
        <f>4.67</f>
        <v>4.67</v>
      </c>
    </row>
    <row r="53" spans="1:7">
      <c r="A53" s="8">
        <v>45689</v>
      </c>
      <c r="B53" s="3">
        <f>6.696</f>
        <v>6.6959999999999997</v>
      </c>
      <c r="C53" s="3">
        <f>4.4493</f>
        <v>4.4493</v>
      </c>
      <c r="D53" s="3">
        <f>1.359</f>
        <v>1.359</v>
      </c>
      <c r="E53" s="3">
        <f>2.437</f>
        <v>2.4369999999999998</v>
      </c>
      <c r="F53" s="3">
        <f>1.694</f>
        <v>1.694</v>
      </c>
      <c r="G53" s="3">
        <f>4.517</f>
        <v>4.5170000000000003</v>
      </c>
    </row>
    <row r="54" spans="1:7">
      <c r="A54" s="8">
        <v>45717</v>
      </c>
      <c r="B54" s="3">
        <f>6.667</f>
        <v>6.6669999999999998</v>
      </c>
      <c r="C54" s="3">
        <f>4.2745</f>
        <v>4.2744999999999997</v>
      </c>
      <c r="D54" s="3">
        <f>1.521</f>
        <v>1.5209999999999999</v>
      </c>
      <c r="E54" s="3">
        <f>2.779</f>
        <v>2.7789999999999999</v>
      </c>
      <c r="F54" s="3">
        <f>1.836</f>
        <v>1.8360000000000001</v>
      </c>
      <c r="G54" s="3">
        <f>4.67</f>
        <v>4.67</v>
      </c>
    </row>
    <row r="55" spans="1:7">
      <c r="A55" s="8">
        <v>45748</v>
      </c>
      <c r="B55" s="3">
        <f>6.4</f>
        <v>6.4</v>
      </c>
      <c r="C55" s="3">
        <f>4.271</f>
        <v>4.2709999999999999</v>
      </c>
      <c r="D55" s="3">
        <f>1.32</f>
        <v>1.32</v>
      </c>
      <c r="E55" s="3">
        <f>2.545</f>
        <v>2.5449999999999999</v>
      </c>
      <c r="F55" s="3">
        <f>1.67</f>
        <v>1.67</v>
      </c>
      <c r="G55" s="3">
        <f>4.58</f>
        <v>4.58</v>
      </c>
    </row>
    <row r="56" spans="1:7">
      <c r="A56" s="8">
        <v>45778</v>
      </c>
      <c r="B56" s="3">
        <f>6.295</f>
        <v>6.2949999999999999</v>
      </c>
      <c r="C56" s="3">
        <f>4.423</f>
        <v>4.423</v>
      </c>
      <c r="D56" s="3">
        <f>1.441</f>
        <v>1.4410000000000001</v>
      </c>
      <c r="E56" s="3">
        <f>2.576</f>
        <v>2.5760000000000001</v>
      </c>
      <c r="F56" s="3">
        <f>1.675</f>
        <v>1.675</v>
      </c>
      <c r="G56" s="3">
        <f>4.633</f>
        <v>4.633</v>
      </c>
    </row>
    <row r="57" spans="1:7">
      <c r="A57" s="8">
        <v>45809</v>
      </c>
      <c r="B57" s="3">
        <f>6.299</f>
        <v>6.2990000000000004</v>
      </c>
      <c r="C57" s="3">
        <f>4.378</f>
        <v>4.3780000000000001</v>
      </c>
      <c r="D57" s="3">
        <f>1.448</f>
        <v>1.448</v>
      </c>
      <c r="E57" s="3">
        <f>2.541</f>
        <v>2.5409999999999999</v>
      </c>
      <c r="F57" s="3">
        <f>1.674</f>
        <v>1.6739999999999999</v>
      </c>
      <c r="G57" s="3">
        <f>4.547</f>
        <v>4.5469999999999997</v>
      </c>
    </row>
    <row r="58" spans="1:7">
      <c r="A58" s="8">
        <v>45839</v>
      </c>
      <c r="B58" s="3">
        <f>6.318</f>
        <v>6.3179999999999996</v>
      </c>
      <c r="C58" s="3">
        <f>4.3772</f>
        <v>4.3772000000000002</v>
      </c>
      <c r="D58" s="3">
        <f>1.529</f>
        <v>1.5289999999999999</v>
      </c>
      <c r="E58" s="3">
        <f>2.672</f>
        <v>2.6720000000000002</v>
      </c>
      <c r="F58" s="3">
        <f>1.68</f>
        <v>1.68</v>
      </c>
      <c r="G58" s="3">
        <f>4.605</f>
        <v>4.6050000000000004</v>
      </c>
    </row>
    <row r="59" spans="1:7">
      <c r="A59" s="8">
        <v>45870</v>
      </c>
      <c r="B59" s="3">
        <f>6.47</f>
        <v>6.47</v>
      </c>
      <c r="C59" s="3">
        <f>4.2618</f>
        <v>4.2618</v>
      </c>
      <c r="D59" s="3">
        <f>1.56</f>
        <v>1.56</v>
      </c>
      <c r="E59" s="3">
        <f>2.706</f>
        <v>2.706</v>
      </c>
      <c r="F59" s="3">
        <f>1.747</f>
        <v>1.7470000000000001</v>
      </c>
      <c r="G59" s="3">
        <f>4.643</f>
        <v>4.6429999999999998</v>
      </c>
    </row>
    <row r="60" spans="1:7">
      <c r="A60" s="8">
        <v>45901</v>
      </c>
      <c r="B60" s="3">
        <f>6.507</f>
        <v>6.5069999999999997</v>
      </c>
      <c r="C60" s="3">
        <f>4.119</f>
        <v>4.1189999999999998</v>
      </c>
      <c r="D60" s="3">
        <f>1.616</f>
        <v>1.6160000000000001</v>
      </c>
      <c r="E60" s="3">
        <f>2.713</f>
        <v>2.7130000000000001</v>
      </c>
      <c r="F60" s="3">
        <f>1.811</f>
        <v>1.8109999999999999</v>
      </c>
      <c r="G60" s="3">
        <f>4.684</f>
        <v>4.6840000000000002</v>
      </c>
    </row>
    <row r="61" spans="1:7">
      <c r="A61" s="8">
        <v>45931</v>
      </c>
      <c r="B61" s="3">
        <f>6.522</f>
        <v>6.5220000000000002</v>
      </c>
      <c r="C61" s="3">
        <f>4.0451</f>
        <v>4.0450999999999997</v>
      </c>
      <c r="D61" s="3">
        <f>1.666</f>
        <v>1.6659999999999999</v>
      </c>
      <c r="E61" s="3">
        <f>2.633</f>
        <v>2.633</v>
      </c>
      <c r="F61" s="3">
        <f>1.832</f>
        <v>1.8320000000000001</v>
      </c>
      <c r="G61" s="3">
        <f>4.556</f>
        <v>4.556</v>
      </c>
    </row>
    <row r="62" spans="1:7">
      <c r="A62" s="8">
        <v>45962</v>
      </c>
      <c r="B62" s="3">
        <f>6.49</f>
        <v>6.49</v>
      </c>
      <c r="C62" s="3">
        <f>4.0831</f>
        <v>4.0831</v>
      </c>
      <c r="D62" s="3">
        <f>1.736</f>
        <v>1.736</v>
      </c>
      <c r="E62" s="3">
        <f>2.682</f>
        <v>2.6819999999999999</v>
      </c>
      <c r="F62" s="3">
        <f>1.812</f>
        <v>1.8120000000000001</v>
      </c>
      <c r="G62" s="3">
        <f>4.482</f>
        <v>4.4820000000000002</v>
      </c>
    </row>
    <row r="63" spans="1:7">
      <c r="A63" s="8">
        <v>45992</v>
      </c>
      <c r="B63" s="3">
        <f>6.572</f>
        <v>6.5720000000000001</v>
      </c>
      <c r="C63" s="3">
        <f>4.1377</f>
        <v>4.1376999999999997</v>
      </c>
      <c r="D63" s="3">
        <f>1.984</f>
        <v>1.984</v>
      </c>
      <c r="E63" s="3">
        <f>2.837</f>
        <v>2.8370000000000002</v>
      </c>
      <c r="F63" s="3">
        <f>1.841</f>
        <v>1.841</v>
      </c>
      <c r="G63" s="3">
        <f>4.494</f>
        <v>4.4939999999999998</v>
      </c>
    </row>
    <row r="64" spans="1:7">
      <c r="A64" s="22" t="s">
        <v>30</v>
      </c>
      <c r="B64" s="22"/>
      <c r="C64" s="22"/>
      <c r="D64" s="22"/>
      <c r="E64" s="22"/>
      <c r="F64" s="22"/>
      <c r="G64" s="22"/>
    </row>
  </sheetData>
  <sortState xmlns:xlrd2="http://schemas.microsoft.com/office/spreadsheetml/2017/richdata2" ref="A4:G63">
    <sortCondition ref="A4:A63"/>
  </sortState>
  <mergeCells count="2">
    <mergeCell ref="B2:G2"/>
    <mergeCell ref="A64:G6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B2D2-B99A-482C-9846-DE3B783DFC22}">
  <dimension ref="A1:B253"/>
  <sheetViews>
    <sheetView workbookViewId="0">
      <selection activeCell="A253" sqref="A253:B253"/>
    </sheetView>
  </sheetViews>
  <sheetFormatPr baseColWidth="10" defaultColWidth="8.83203125" defaultRowHeight="14"/>
  <cols>
    <col min="1" max="1" width="16" style="6" customWidth="1"/>
    <col min="2" max="2" width="22.1640625" style="6" customWidth="1"/>
    <col min="3" max="16384" width="8.83203125" style="6"/>
  </cols>
  <sheetData>
    <row r="1" spans="1:2" ht="32" customHeight="1">
      <c r="A1" s="47" t="s">
        <v>151</v>
      </c>
      <c r="B1" s="47"/>
    </row>
    <row r="2" spans="1:2" ht="41" customHeight="1">
      <c r="A2" s="12"/>
      <c r="B2" s="13" t="s">
        <v>31</v>
      </c>
    </row>
    <row r="3" spans="1:2">
      <c r="A3" s="8">
        <v>38353</v>
      </c>
      <c r="B3" s="3">
        <v>64.158296141692304</v>
      </c>
    </row>
    <row r="4" spans="1:2">
      <c r="A4" s="8">
        <v>38384</v>
      </c>
      <c r="B4" s="3">
        <v>58.049763571554614</v>
      </c>
    </row>
    <row r="5" spans="1:2">
      <c r="A5" s="8">
        <v>38412</v>
      </c>
      <c r="B5" s="3">
        <v>56.262886237224464</v>
      </c>
    </row>
    <row r="6" spans="1:2">
      <c r="A6" s="8">
        <v>38443</v>
      </c>
      <c r="B6" s="3">
        <v>76.227136955251396</v>
      </c>
    </row>
    <row r="7" spans="1:2">
      <c r="A7" s="8">
        <v>38473</v>
      </c>
      <c r="B7" s="3">
        <v>63.968503658058665</v>
      </c>
    </row>
    <row r="8" spans="1:2">
      <c r="A8" s="8">
        <v>38504</v>
      </c>
      <c r="B8" s="3">
        <v>71.540138273339082</v>
      </c>
    </row>
    <row r="9" spans="1:2">
      <c r="A9" s="8">
        <v>38534</v>
      </c>
      <c r="B9" s="3">
        <v>64.828271432721664</v>
      </c>
    </row>
    <row r="10" spans="1:2">
      <c r="A10" s="8">
        <v>38565</v>
      </c>
      <c r="B10" s="3">
        <v>63.037839434542462</v>
      </c>
    </row>
    <row r="11" spans="1:2">
      <c r="A11" s="8">
        <v>38596</v>
      </c>
      <c r="B11" s="3">
        <v>92.156031063569827</v>
      </c>
    </row>
    <row r="12" spans="1:2">
      <c r="A12" s="8">
        <v>38626</v>
      </c>
      <c r="B12" s="3">
        <v>68.552573636736895</v>
      </c>
    </row>
    <row r="13" spans="1:2">
      <c r="A13" s="8">
        <v>38657</v>
      </c>
      <c r="B13" s="3">
        <v>64.41922156653618</v>
      </c>
    </row>
    <row r="14" spans="1:2">
      <c r="A14" s="8">
        <v>38687</v>
      </c>
      <c r="B14" s="3">
        <v>66.693136483989193</v>
      </c>
    </row>
    <row r="15" spans="1:2">
      <c r="A15" s="8">
        <v>38718</v>
      </c>
      <c r="B15" s="3">
        <v>78.193822760742066</v>
      </c>
    </row>
    <row r="16" spans="1:2">
      <c r="A16" s="8">
        <v>38749</v>
      </c>
      <c r="B16" s="3">
        <v>61.175646762355058</v>
      </c>
    </row>
    <row r="17" spans="1:2">
      <c r="A17" s="8">
        <v>38777</v>
      </c>
      <c r="B17" s="3">
        <v>61.387590105134528</v>
      </c>
    </row>
    <row r="18" spans="1:2">
      <c r="A18" s="8">
        <v>38808</v>
      </c>
      <c r="B18" s="3">
        <v>73.972998077200529</v>
      </c>
    </row>
    <row r="19" spans="1:2">
      <c r="A19" s="8">
        <v>38838</v>
      </c>
      <c r="B19" s="3">
        <v>62.929691555249654</v>
      </c>
    </row>
    <row r="20" spans="1:2">
      <c r="A20" s="8">
        <v>38869</v>
      </c>
      <c r="B20" s="3">
        <v>72.605461192089834</v>
      </c>
    </row>
    <row r="21" spans="1:2">
      <c r="A21" s="8">
        <v>38899</v>
      </c>
      <c r="B21" s="3">
        <v>71.107835154440679</v>
      </c>
    </row>
    <row r="22" spans="1:2">
      <c r="A22" s="8">
        <v>38930</v>
      </c>
      <c r="B22" s="3">
        <v>64.521915290767367</v>
      </c>
    </row>
    <row r="23" spans="1:2">
      <c r="A23" s="8">
        <v>38961</v>
      </c>
      <c r="B23" s="3">
        <v>57.068721001145555</v>
      </c>
    </row>
    <row r="24" spans="1:2">
      <c r="A24" s="8">
        <v>38991</v>
      </c>
      <c r="B24" s="3">
        <v>66.813134666119197</v>
      </c>
    </row>
    <row r="25" spans="1:2">
      <c r="A25" s="8">
        <v>39022</v>
      </c>
      <c r="B25" s="3">
        <v>64.197817726037997</v>
      </c>
    </row>
    <row r="26" spans="1:2">
      <c r="A26" s="8">
        <v>39052</v>
      </c>
      <c r="B26" s="3">
        <v>61.834027131581443</v>
      </c>
    </row>
    <row r="27" spans="1:2">
      <c r="A27" s="8">
        <v>39083</v>
      </c>
      <c r="B27" s="3">
        <v>65.102754764795407</v>
      </c>
    </row>
    <row r="28" spans="1:2">
      <c r="A28" s="8">
        <v>39114</v>
      </c>
      <c r="B28" s="3">
        <v>57.815821932646344</v>
      </c>
    </row>
    <row r="29" spans="1:2">
      <c r="A29" s="8">
        <v>39142</v>
      </c>
      <c r="B29" s="3">
        <v>67.46203687893771</v>
      </c>
    </row>
    <row r="30" spans="1:2">
      <c r="A30" s="8">
        <v>39173</v>
      </c>
      <c r="B30" s="3">
        <v>64.475155351281458</v>
      </c>
    </row>
    <row r="31" spans="1:2">
      <c r="A31" s="8">
        <v>39203</v>
      </c>
      <c r="B31" s="3">
        <v>57.167881809554288</v>
      </c>
    </row>
    <row r="32" spans="1:2">
      <c r="A32" s="8">
        <v>39234</v>
      </c>
      <c r="B32" s="3">
        <v>57.422152938489603</v>
      </c>
    </row>
    <row r="33" spans="1:2">
      <c r="A33" s="8">
        <v>39264</v>
      </c>
      <c r="B33" s="3">
        <v>52.307810272909428</v>
      </c>
    </row>
    <row r="34" spans="1:2">
      <c r="A34" s="8">
        <v>39295</v>
      </c>
      <c r="B34" s="3">
        <v>76.530487118929642</v>
      </c>
    </row>
    <row r="35" spans="1:2">
      <c r="A35" s="8">
        <v>39326</v>
      </c>
      <c r="B35" s="3">
        <v>94.276442963390735</v>
      </c>
    </row>
    <row r="36" spans="1:2">
      <c r="A36" s="8">
        <v>39356</v>
      </c>
      <c r="B36" s="3">
        <v>79.054579642079915</v>
      </c>
    </row>
    <row r="37" spans="1:2">
      <c r="A37" s="8">
        <v>39387</v>
      </c>
      <c r="B37" s="3">
        <v>79.240565703151674</v>
      </c>
    </row>
    <row r="38" spans="1:2">
      <c r="A38" s="8">
        <v>39417</v>
      </c>
      <c r="B38" s="3">
        <v>99.497646246992133</v>
      </c>
    </row>
    <row r="39" spans="1:2">
      <c r="A39" s="8">
        <v>39448</v>
      </c>
      <c r="B39" s="3">
        <v>132.66898606166689</v>
      </c>
    </row>
    <row r="40" spans="1:2">
      <c r="A40" s="8">
        <v>39479</v>
      </c>
      <c r="B40" s="3">
        <v>97.691320536507092</v>
      </c>
    </row>
    <row r="41" spans="1:2">
      <c r="A41" s="8">
        <v>39508</v>
      </c>
      <c r="B41" s="3">
        <v>129.4850567162087</v>
      </c>
    </row>
    <row r="42" spans="1:2">
      <c r="A42" s="8">
        <v>39539</v>
      </c>
      <c r="B42" s="3">
        <v>98.841048787499489</v>
      </c>
    </row>
    <row r="43" spans="1:2">
      <c r="A43" s="8">
        <v>39569</v>
      </c>
      <c r="B43" s="3">
        <v>81.647949053082414</v>
      </c>
    </row>
    <row r="44" spans="1:2">
      <c r="A44" s="8">
        <v>39600</v>
      </c>
      <c r="B44" s="3">
        <v>90.882326039109643</v>
      </c>
    </row>
    <row r="45" spans="1:2">
      <c r="A45" s="8">
        <v>39630</v>
      </c>
      <c r="B45" s="3">
        <v>108.03765492218241</v>
      </c>
    </row>
    <row r="46" spans="1:2">
      <c r="A46" s="8">
        <v>39661</v>
      </c>
      <c r="B46" s="3">
        <v>98.950066651527948</v>
      </c>
    </row>
    <row r="47" spans="1:2">
      <c r="A47" s="8">
        <v>39692</v>
      </c>
      <c r="B47" s="3">
        <v>159.37768378815611</v>
      </c>
    </row>
    <row r="48" spans="1:2">
      <c r="A48" s="8">
        <v>39722</v>
      </c>
      <c r="B48" s="3">
        <v>209.10172236225122</v>
      </c>
    </row>
    <row r="49" spans="1:2">
      <c r="A49" s="8">
        <v>39753</v>
      </c>
      <c r="B49" s="3">
        <v>146.34789749835605</v>
      </c>
    </row>
    <row r="50" spans="1:2">
      <c r="A50" s="8">
        <v>39783</v>
      </c>
      <c r="B50" s="3">
        <v>148.57080577500147</v>
      </c>
    </row>
    <row r="51" spans="1:2">
      <c r="A51" s="8">
        <v>39814</v>
      </c>
      <c r="B51" s="3">
        <v>146.4392207254933</v>
      </c>
    </row>
    <row r="52" spans="1:2">
      <c r="A52" s="8">
        <v>39845</v>
      </c>
      <c r="B52" s="3">
        <v>144.31469084392114</v>
      </c>
    </row>
    <row r="53" spans="1:2">
      <c r="A53" s="8">
        <v>39873</v>
      </c>
      <c r="B53" s="3">
        <v>136.37799488741189</v>
      </c>
    </row>
    <row r="54" spans="1:2">
      <c r="A54" s="8">
        <v>39904</v>
      </c>
      <c r="B54" s="3">
        <v>104.745746029674</v>
      </c>
    </row>
    <row r="55" spans="1:2">
      <c r="A55" s="8">
        <v>39934</v>
      </c>
      <c r="B55" s="3">
        <v>100.52189852815273</v>
      </c>
    </row>
    <row r="56" spans="1:2">
      <c r="A56" s="8">
        <v>39965</v>
      </c>
      <c r="B56" s="3">
        <v>130.58030763815603</v>
      </c>
    </row>
    <row r="57" spans="1:2">
      <c r="A57" s="8">
        <v>39995</v>
      </c>
      <c r="B57" s="3">
        <v>117.79920388662993</v>
      </c>
    </row>
    <row r="58" spans="1:2">
      <c r="A58" s="8">
        <v>40026</v>
      </c>
      <c r="B58" s="3">
        <v>109.27559248451905</v>
      </c>
    </row>
    <row r="59" spans="1:2">
      <c r="A59" s="8">
        <v>40057</v>
      </c>
      <c r="B59" s="3">
        <v>119.5786353129479</v>
      </c>
    </row>
    <row r="60" spans="1:2">
      <c r="A60" s="8">
        <v>40087</v>
      </c>
      <c r="B60" s="3">
        <v>98.052842841680786</v>
      </c>
    </row>
    <row r="61" spans="1:2">
      <c r="A61" s="8">
        <v>40118</v>
      </c>
      <c r="B61" s="3">
        <v>109.34600522650734</v>
      </c>
    </row>
    <row r="62" spans="1:2">
      <c r="A62" s="8">
        <v>40148</v>
      </c>
      <c r="B62" s="3">
        <v>105.68220373236775</v>
      </c>
    </row>
    <row r="63" spans="1:2">
      <c r="A63" s="8">
        <v>40179</v>
      </c>
      <c r="B63" s="3">
        <v>120.6541925646326</v>
      </c>
    </row>
    <row r="64" spans="1:2">
      <c r="A64" s="8">
        <v>40210</v>
      </c>
      <c r="B64" s="3">
        <v>120.4738756830882</v>
      </c>
    </row>
    <row r="65" spans="1:2">
      <c r="A65" s="8">
        <v>40238</v>
      </c>
      <c r="B65" s="3">
        <v>121.44864991675993</v>
      </c>
    </row>
    <row r="66" spans="1:2">
      <c r="A66" s="8">
        <v>40269</v>
      </c>
      <c r="B66" s="3">
        <v>109.2899844711115</v>
      </c>
    </row>
    <row r="67" spans="1:2">
      <c r="A67" s="8">
        <v>40299</v>
      </c>
      <c r="B67" s="3">
        <v>143.24957781356943</v>
      </c>
    </row>
    <row r="68" spans="1:2">
      <c r="A68" s="8">
        <v>40330</v>
      </c>
      <c r="B68" s="3">
        <v>142.0473363347887</v>
      </c>
    </row>
    <row r="69" spans="1:2">
      <c r="A69" s="8">
        <v>40360</v>
      </c>
      <c r="B69" s="3">
        <v>146.88945589613454</v>
      </c>
    </row>
    <row r="70" spans="1:2">
      <c r="A70" s="8">
        <v>40391</v>
      </c>
      <c r="B70" s="3">
        <v>121.89059236448537</v>
      </c>
    </row>
    <row r="71" spans="1:2">
      <c r="A71" s="8">
        <v>40422</v>
      </c>
      <c r="B71" s="3">
        <v>127.39682959466751</v>
      </c>
    </row>
    <row r="72" spans="1:2">
      <c r="A72" s="8">
        <v>40452</v>
      </c>
      <c r="B72" s="3">
        <v>123.38713121942504</v>
      </c>
    </row>
    <row r="73" spans="1:2">
      <c r="A73" s="8">
        <v>40483</v>
      </c>
      <c r="B73" s="3">
        <v>127.68749403835716</v>
      </c>
    </row>
    <row r="74" spans="1:2">
      <c r="A74" s="8">
        <v>40513</v>
      </c>
      <c r="B74" s="3">
        <v>139.85416432526088</v>
      </c>
    </row>
    <row r="75" spans="1:2">
      <c r="A75" s="8">
        <v>40544</v>
      </c>
      <c r="B75" s="3">
        <v>124.42186230123907</v>
      </c>
    </row>
    <row r="76" spans="1:2">
      <c r="A76" s="8">
        <v>40575</v>
      </c>
      <c r="B76" s="3">
        <v>97.593801926649249</v>
      </c>
    </row>
    <row r="77" spans="1:2">
      <c r="A77" s="8">
        <v>40603</v>
      </c>
      <c r="B77" s="3">
        <v>132.04265241427061</v>
      </c>
    </row>
    <row r="78" spans="1:2">
      <c r="A78" s="8">
        <v>40634</v>
      </c>
      <c r="B78" s="3">
        <v>124.28837725370009</v>
      </c>
    </row>
    <row r="79" spans="1:2">
      <c r="A79" s="8">
        <v>40664</v>
      </c>
      <c r="B79" s="3">
        <v>94.709584346828038</v>
      </c>
    </row>
    <row r="80" spans="1:2">
      <c r="A80" s="8">
        <v>40695</v>
      </c>
      <c r="B80" s="3">
        <v>124.30942851034966</v>
      </c>
    </row>
    <row r="81" spans="1:2">
      <c r="A81" s="8">
        <v>40725</v>
      </c>
      <c r="B81" s="3">
        <v>151.24522723383021</v>
      </c>
    </row>
    <row r="82" spans="1:2">
      <c r="A82" s="8">
        <v>40756</v>
      </c>
      <c r="B82" s="3">
        <v>215.6544495486055</v>
      </c>
    </row>
    <row r="83" spans="1:2">
      <c r="A83" s="8">
        <v>40787</v>
      </c>
      <c r="B83" s="3">
        <v>194.65878153918371</v>
      </c>
    </row>
    <row r="84" spans="1:2">
      <c r="A84" s="8">
        <v>40817</v>
      </c>
      <c r="B84" s="3">
        <v>173.32363643136401</v>
      </c>
    </row>
    <row r="85" spans="1:2">
      <c r="A85" s="8">
        <v>40848</v>
      </c>
      <c r="B85" s="3">
        <v>195.31919839452877</v>
      </c>
    </row>
    <row r="86" spans="1:2">
      <c r="A86" s="8">
        <v>40878</v>
      </c>
      <c r="B86" s="3">
        <v>186.36615866290614</v>
      </c>
    </row>
    <row r="87" spans="1:2">
      <c r="A87" s="8">
        <v>40909</v>
      </c>
      <c r="B87" s="3">
        <v>158.48274509811742</v>
      </c>
    </row>
    <row r="88" spans="1:2">
      <c r="A88" s="8">
        <v>40940</v>
      </c>
      <c r="B88" s="3">
        <v>148.33616981716602</v>
      </c>
    </row>
    <row r="89" spans="1:2">
      <c r="A89" s="8">
        <v>40969</v>
      </c>
      <c r="B89" s="3">
        <v>146.86629413299869</v>
      </c>
    </row>
    <row r="90" spans="1:2">
      <c r="A90" s="8">
        <v>41000</v>
      </c>
      <c r="B90" s="3">
        <v>136.50267736600006</v>
      </c>
    </row>
    <row r="91" spans="1:2">
      <c r="A91" s="8">
        <v>41030</v>
      </c>
      <c r="B91" s="3">
        <v>165.57251078982361</v>
      </c>
    </row>
    <row r="92" spans="1:2">
      <c r="A92" s="8">
        <v>41061</v>
      </c>
      <c r="B92" s="3">
        <v>188.31049549704892</v>
      </c>
    </row>
    <row r="93" spans="1:2">
      <c r="A93" s="8">
        <v>41091</v>
      </c>
      <c r="B93" s="3">
        <v>152.99256430944016</v>
      </c>
    </row>
    <row r="94" spans="1:2">
      <c r="A94" s="8">
        <v>41122</v>
      </c>
      <c r="B94" s="3">
        <v>118.63401845140011</v>
      </c>
    </row>
    <row r="95" spans="1:2">
      <c r="A95" s="8">
        <v>41153</v>
      </c>
      <c r="B95" s="3">
        <v>156.10490579691134</v>
      </c>
    </row>
    <row r="96" spans="1:2">
      <c r="A96" s="8">
        <v>41183</v>
      </c>
      <c r="B96" s="3">
        <v>151.65634429573933</v>
      </c>
    </row>
    <row r="97" spans="1:2">
      <c r="A97" s="8">
        <v>41214</v>
      </c>
      <c r="B97" s="3">
        <v>161.03700011000601</v>
      </c>
    </row>
    <row r="98" spans="1:2">
      <c r="A98" s="8">
        <v>41244</v>
      </c>
      <c r="B98" s="3">
        <v>170.04450512292792</v>
      </c>
    </row>
    <row r="99" spans="1:2">
      <c r="A99" s="8">
        <v>41275</v>
      </c>
      <c r="B99" s="3">
        <v>165.96021311857433</v>
      </c>
    </row>
    <row r="100" spans="1:2">
      <c r="A100" s="8">
        <v>41306</v>
      </c>
      <c r="B100" s="3">
        <v>123.41635968507401</v>
      </c>
    </row>
    <row r="101" spans="1:2">
      <c r="A101" s="8">
        <v>41334</v>
      </c>
      <c r="B101" s="3">
        <v>145.26603936169289</v>
      </c>
    </row>
    <row r="102" spans="1:2">
      <c r="A102" s="8">
        <v>41365</v>
      </c>
      <c r="B102" s="3">
        <v>139.81218788794314</v>
      </c>
    </row>
    <row r="103" spans="1:2">
      <c r="A103" s="8">
        <v>41395</v>
      </c>
      <c r="B103" s="3">
        <v>108.45492731936986</v>
      </c>
    </row>
    <row r="104" spans="1:2">
      <c r="A104" s="8">
        <v>41426</v>
      </c>
      <c r="B104" s="3">
        <v>130.33402461196374</v>
      </c>
    </row>
    <row r="105" spans="1:2">
      <c r="A105" s="8">
        <v>41456</v>
      </c>
      <c r="B105" s="3">
        <v>108.61165664602973</v>
      </c>
    </row>
    <row r="106" spans="1:2">
      <c r="A106" s="8">
        <v>41487</v>
      </c>
      <c r="B106" s="3">
        <v>127.50349774990674</v>
      </c>
    </row>
    <row r="107" spans="1:2">
      <c r="A107" s="8">
        <v>41518</v>
      </c>
      <c r="B107" s="3">
        <v>141.47516874973721</v>
      </c>
    </row>
    <row r="108" spans="1:2">
      <c r="A108" s="8">
        <v>41548</v>
      </c>
      <c r="B108" s="3">
        <v>167.4150691586816</v>
      </c>
    </row>
    <row r="109" spans="1:2">
      <c r="A109" s="8">
        <v>41579</v>
      </c>
      <c r="B109" s="3">
        <v>108.11831756365788</v>
      </c>
    </row>
    <row r="110" spans="1:2">
      <c r="A110" s="8">
        <v>41609</v>
      </c>
      <c r="B110" s="3">
        <v>128.27598777106547</v>
      </c>
    </row>
    <row r="111" spans="1:2">
      <c r="A111" s="8">
        <v>41640</v>
      </c>
      <c r="B111" s="3">
        <v>119.72452692335156</v>
      </c>
    </row>
    <row r="112" spans="1:2">
      <c r="A112" s="8">
        <v>41671</v>
      </c>
      <c r="B112" s="3">
        <v>100.92578811408968</v>
      </c>
    </row>
    <row r="113" spans="1:2">
      <c r="A113" s="8">
        <v>41699</v>
      </c>
      <c r="B113" s="3">
        <v>114.62274172358721</v>
      </c>
    </row>
    <row r="114" spans="1:2">
      <c r="A114" s="8">
        <v>41730</v>
      </c>
      <c r="B114" s="3">
        <v>118.48565023588043</v>
      </c>
    </row>
    <row r="115" spans="1:2">
      <c r="A115" s="8">
        <v>41760</v>
      </c>
      <c r="B115" s="3">
        <v>111.04334557561116</v>
      </c>
    </row>
    <row r="116" spans="1:2">
      <c r="A116" s="8">
        <v>41791</v>
      </c>
      <c r="B116" s="3">
        <v>96.48710743626016</v>
      </c>
    </row>
    <row r="117" spans="1:2">
      <c r="A117" s="8">
        <v>41821</v>
      </c>
      <c r="B117" s="3">
        <v>99.919899502723268</v>
      </c>
    </row>
    <row r="118" spans="1:2">
      <c r="A118" s="8">
        <v>41852</v>
      </c>
      <c r="B118" s="3">
        <v>105.12123500964519</v>
      </c>
    </row>
    <row r="119" spans="1:2">
      <c r="A119" s="8">
        <v>41883</v>
      </c>
      <c r="B119" s="3">
        <v>128.61944825900102</v>
      </c>
    </row>
    <row r="120" spans="1:2">
      <c r="A120" s="8">
        <v>41913</v>
      </c>
      <c r="B120" s="3">
        <v>114.71733449991211</v>
      </c>
    </row>
    <row r="121" spans="1:2">
      <c r="A121" s="8">
        <v>41944</v>
      </c>
      <c r="B121" s="3">
        <v>128.57420697862889</v>
      </c>
    </row>
    <row r="122" spans="1:2">
      <c r="A122" s="8">
        <v>41974</v>
      </c>
      <c r="B122" s="3">
        <v>113.92075672241478</v>
      </c>
    </row>
    <row r="123" spans="1:2">
      <c r="A123" s="8">
        <v>42005</v>
      </c>
      <c r="B123" s="3">
        <v>135.14915785437597</v>
      </c>
    </row>
    <row r="124" spans="1:2">
      <c r="A124" s="8">
        <v>42036</v>
      </c>
      <c r="B124" s="3">
        <v>122.71051607592193</v>
      </c>
    </row>
    <row r="125" spans="1:2">
      <c r="A125" s="8">
        <v>42064</v>
      </c>
      <c r="B125" s="3">
        <v>117.88430392021309</v>
      </c>
    </row>
    <row r="126" spans="1:2">
      <c r="A126" s="8">
        <v>42095</v>
      </c>
      <c r="B126" s="3">
        <v>100.82511954923628</v>
      </c>
    </row>
    <row r="127" spans="1:2">
      <c r="A127" s="8">
        <v>42125</v>
      </c>
      <c r="B127" s="3">
        <v>101.50001533843437</v>
      </c>
    </row>
    <row r="128" spans="1:2">
      <c r="A128" s="8">
        <v>42156</v>
      </c>
      <c r="B128" s="3">
        <v>118.72546559374508</v>
      </c>
    </row>
    <row r="129" spans="1:2">
      <c r="A129" s="8">
        <v>42186</v>
      </c>
      <c r="B129" s="3">
        <v>122.94821553353027</v>
      </c>
    </row>
    <row r="130" spans="1:2">
      <c r="A130" s="8">
        <v>42217</v>
      </c>
      <c r="B130" s="3">
        <v>117.18973069198921</v>
      </c>
    </row>
    <row r="131" spans="1:2">
      <c r="A131" s="8">
        <v>42248</v>
      </c>
      <c r="B131" s="3">
        <v>153.83985991999424</v>
      </c>
    </row>
    <row r="132" spans="1:2">
      <c r="A132" s="8">
        <v>42278</v>
      </c>
      <c r="B132" s="3">
        <v>115.39867160722267</v>
      </c>
    </row>
    <row r="133" spans="1:2">
      <c r="A133" s="8">
        <v>42309</v>
      </c>
      <c r="B133" s="3">
        <v>106.06008017962027</v>
      </c>
    </row>
    <row r="134" spans="1:2">
      <c r="A134" s="8">
        <v>42339</v>
      </c>
      <c r="B134" s="3">
        <v>116.9237490628539</v>
      </c>
    </row>
    <row r="135" spans="1:2">
      <c r="A135" s="8">
        <v>42370</v>
      </c>
      <c r="B135" s="3">
        <v>140.98028114380421</v>
      </c>
    </row>
    <row r="136" spans="1:2">
      <c r="A136" s="8">
        <v>42401</v>
      </c>
      <c r="B136" s="3">
        <v>145.77674685802927</v>
      </c>
    </row>
    <row r="137" spans="1:2">
      <c r="A137" s="8">
        <v>42430</v>
      </c>
      <c r="B137" s="3">
        <v>162.34613364151207</v>
      </c>
    </row>
    <row r="138" spans="1:2">
      <c r="A138" s="8">
        <v>42461</v>
      </c>
      <c r="B138" s="3">
        <v>146.39938006134571</v>
      </c>
    </row>
    <row r="139" spans="1:2">
      <c r="A139" s="8">
        <v>42491</v>
      </c>
      <c r="B139" s="3">
        <v>123.77764021821704</v>
      </c>
    </row>
    <row r="140" spans="1:2">
      <c r="A140" s="8">
        <v>42522</v>
      </c>
      <c r="B140" s="3">
        <v>220.86233315580014</v>
      </c>
    </row>
    <row r="141" spans="1:2">
      <c r="A141" s="8">
        <v>42552</v>
      </c>
      <c r="B141" s="3">
        <v>189.03332279678318</v>
      </c>
    </row>
    <row r="142" spans="1:2">
      <c r="A142" s="8">
        <v>42583</v>
      </c>
      <c r="B142" s="3">
        <v>136.52293706387516</v>
      </c>
    </row>
    <row r="143" spans="1:2">
      <c r="A143" s="8">
        <v>42614</v>
      </c>
      <c r="B143" s="3">
        <v>139.16231812801496</v>
      </c>
    </row>
    <row r="144" spans="1:2">
      <c r="A144" s="8">
        <v>42644</v>
      </c>
      <c r="B144" s="3">
        <v>122.41145303991097</v>
      </c>
    </row>
    <row r="145" spans="1:2">
      <c r="A145" s="8">
        <v>42675</v>
      </c>
      <c r="B145" s="3">
        <v>215.20031347155745</v>
      </c>
    </row>
    <row r="146" spans="1:2">
      <c r="A146" s="8">
        <v>42705</v>
      </c>
      <c r="B146" s="3">
        <v>186.77291695314759</v>
      </c>
    </row>
    <row r="147" spans="1:2">
      <c r="A147" s="8">
        <v>42736</v>
      </c>
      <c r="B147" s="3">
        <v>255.42226394331243</v>
      </c>
    </row>
    <row r="148" spans="1:2">
      <c r="A148" s="8">
        <v>42767</v>
      </c>
      <c r="B148" s="3">
        <v>189.75558084888868</v>
      </c>
    </row>
    <row r="149" spans="1:2">
      <c r="A149" s="8">
        <v>42795</v>
      </c>
      <c r="B149" s="3">
        <v>250.24312859266627</v>
      </c>
    </row>
    <row r="150" spans="1:2">
      <c r="A150" s="8">
        <v>42826</v>
      </c>
      <c r="B150" s="3">
        <v>177.86929869118299</v>
      </c>
    </row>
    <row r="151" spans="1:2">
      <c r="A151" s="8">
        <v>42856</v>
      </c>
      <c r="B151" s="3">
        <v>142.73368040790734</v>
      </c>
    </row>
    <row r="152" spans="1:2">
      <c r="A152" s="8">
        <v>42887</v>
      </c>
      <c r="B152" s="3">
        <v>175.60601807063787</v>
      </c>
    </row>
    <row r="153" spans="1:2">
      <c r="A153" s="8">
        <v>42917</v>
      </c>
      <c r="B153" s="3">
        <v>172.37902722802704</v>
      </c>
    </row>
    <row r="154" spans="1:2">
      <c r="A154" s="8">
        <v>42948</v>
      </c>
      <c r="B154" s="3">
        <v>141.83861671080984</v>
      </c>
    </row>
    <row r="155" spans="1:2">
      <c r="A155" s="8">
        <v>42979</v>
      </c>
      <c r="B155" s="3">
        <v>163.53862740693651</v>
      </c>
    </row>
    <row r="156" spans="1:2">
      <c r="A156" s="8">
        <v>43009</v>
      </c>
      <c r="B156" s="3">
        <v>149.87426585880743</v>
      </c>
    </row>
    <row r="157" spans="1:2">
      <c r="A157" s="8">
        <v>43040</v>
      </c>
      <c r="B157" s="3">
        <v>168.10006262308235</v>
      </c>
    </row>
    <row r="158" spans="1:2">
      <c r="A158" s="8">
        <v>43070</v>
      </c>
      <c r="B158" s="3">
        <v>155.61939820513842</v>
      </c>
    </row>
    <row r="159" spans="1:2">
      <c r="A159" s="8">
        <v>43101</v>
      </c>
      <c r="B159" s="3">
        <v>180.20591695454513</v>
      </c>
    </row>
    <row r="160" spans="1:2">
      <c r="A160" s="8">
        <v>43132</v>
      </c>
      <c r="B160" s="3">
        <v>130.83360315712056</v>
      </c>
    </row>
    <row r="161" spans="1:2">
      <c r="A161" s="8">
        <v>43160</v>
      </c>
      <c r="B161" s="3">
        <v>181.56232165874425</v>
      </c>
    </row>
    <row r="162" spans="1:2">
      <c r="A162" s="8">
        <v>43191</v>
      </c>
      <c r="B162" s="3">
        <v>173.5819054444155</v>
      </c>
    </row>
    <row r="163" spans="1:2">
      <c r="A163" s="8">
        <v>43221</v>
      </c>
      <c r="B163" s="3">
        <v>172.62118812581292</v>
      </c>
    </row>
    <row r="164" spans="1:2">
      <c r="A164" s="8">
        <v>43252</v>
      </c>
      <c r="B164" s="3">
        <v>163.58535428065198</v>
      </c>
    </row>
    <row r="165" spans="1:2">
      <c r="A165" s="8">
        <v>43282</v>
      </c>
      <c r="B165" s="3">
        <v>238.62026183298073</v>
      </c>
    </row>
    <row r="166" spans="1:2">
      <c r="A166" s="8">
        <v>43313</v>
      </c>
      <c r="B166" s="3">
        <v>182.23192923553509</v>
      </c>
    </row>
    <row r="167" spans="1:2">
      <c r="A167" s="8">
        <v>43344</v>
      </c>
      <c r="B167" s="3">
        <v>205.84797358840544</v>
      </c>
    </row>
    <row r="168" spans="1:2">
      <c r="A168" s="8">
        <v>43374</v>
      </c>
      <c r="B168" s="3">
        <v>225.95935388896473</v>
      </c>
    </row>
    <row r="169" spans="1:2">
      <c r="A169" s="8">
        <v>43405</v>
      </c>
      <c r="B169" s="3">
        <v>265.36885900799149</v>
      </c>
    </row>
    <row r="170" spans="1:2">
      <c r="A170" s="8">
        <v>43435</v>
      </c>
      <c r="B170" s="3">
        <v>218.35528990905249</v>
      </c>
    </row>
    <row r="171" spans="1:2">
      <c r="A171" s="8">
        <v>43466</v>
      </c>
      <c r="B171" s="3">
        <v>243.71587174201119</v>
      </c>
    </row>
    <row r="172" spans="1:2">
      <c r="A172" s="8">
        <v>43497</v>
      </c>
      <c r="B172" s="3">
        <v>177.86814789992968</v>
      </c>
    </row>
    <row r="173" spans="1:2">
      <c r="A173" s="8">
        <v>43525</v>
      </c>
      <c r="B173" s="3">
        <v>251.85882987638382</v>
      </c>
    </row>
    <row r="174" spans="1:2">
      <c r="A174" s="8">
        <v>43556</v>
      </c>
      <c r="B174" s="3">
        <v>204.92016884478554</v>
      </c>
    </row>
    <row r="175" spans="1:2">
      <c r="A175" s="8">
        <v>43586</v>
      </c>
      <c r="B175" s="3">
        <v>238.27451033946343</v>
      </c>
    </row>
    <row r="176" spans="1:2">
      <c r="A176" s="8">
        <v>43617</v>
      </c>
      <c r="B176" s="3">
        <v>350.03045891586095</v>
      </c>
    </row>
    <row r="177" spans="1:2">
      <c r="A177" s="8">
        <v>43647</v>
      </c>
      <c r="B177" s="3">
        <v>259.85619420747571</v>
      </c>
    </row>
    <row r="178" spans="1:2">
      <c r="A178" s="8">
        <v>43678</v>
      </c>
      <c r="B178" s="3">
        <v>293.19818026548529</v>
      </c>
    </row>
    <row r="179" spans="1:2">
      <c r="A179" s="8">
        <v>43709</v>
      </c>
      <c r="B179" s="3">
        <v>250.50445589675445</v>
      </c>
    </row>
    <row r="180" spans="1:2">
      <c r="A180" s="8">
        <v>43739</v>
      </c>
      <c r="B180" s="3">
        <v>208.95446486857173</v>
      </c>
    </row>
    <row r="181" spans="1:2">
      <c r="A181" s="8">
        <v>43770</v>
      </c>
      <c r="B181" s="3">
        <v>259.36974506762999</v>
      </c>
    </row>
    <row r="182" spans="1:2">
      <c r="A182" s="8">
        <v>43800</v>
      </c>
      <c r="B182" s="3">
        <v>244.62138653328199</v>
      </c>
    </row>
    <row r="183" spans="1:2">
      <c r="A183" s="8">
        <v>43831</v>
      </c>
      <c r="B183" s="3">
        <v>199.42663643617422</v>
      </c>
    </row>
    <row r="184" spans="1:2">
      <c r="A184" s="8">
        <v>43862</v>
      </c>
      <c r="B184" s="3">
        <v>198.09657304117113</v>
      </c>
    </row>
    <row r="185" spans="1:2">
      <c r="A185" s="8">
        <v>43891</v>
      </c>
      <c r="B185" s="3">
        <v>311.56790130141098</v>
      </c>
    </row>
    <row r="186" spans="1:2">
      <c r="A186" s="8">
        <v>43922</v>
      </c>
      <c r="B186" s="3">
        <v>334.97665943936892</v>
      </c>
    </row>
    <row r="187" spans="1:2">
      <c r="A187" s="8">
        <v>43952</v>
      </c>
      <c r="B187" s="3">
        <v>424.1125449663939</v>
      </c>
    </row>
    <row r="188" spans="1:2">
      <c r="A188" s="8">
        <v>43983</v>
      </c>
      <c r="B188" s="3">
        <v>325.13351340712103</v>
      </c>
    </row>
    <row r="189" spans="1:2">
      <c r="A189" s="8">
        <v>44013</v>
      </c>
      <c r="B189" s="3">
        <v>308.70496463984534</v>
      </c>
    </row>
    <row r="190" spans="1:2">
      <c r="A190" s="8">
        <v>44044</v>
      </c>
      <c r="B190" s="3">
        <v>304.4329421174711</v>
      </c>
    </row>
    <row r="191" spans="1:2">
      <c r="A191" s="8">
        <v>44075</v>
      </c>
      <c r="B191" s="3">
        <v>328.00333062977825</v>
      </c>
    </row>
    <row r="192" spans="1:2">
      <c r="A192" s="8">
        <v>44105</v>
      </c>
      <c r="B192" s="3">
        <v>313.18465651012497</v>
      </c>
    </row>
    <row r="193" spans="1:2">
      <c r="A193" s="8">
        <v>44136</v>
      </c>
      <c r="B193" s="3">
        <v>421.64403409906873</v>
      </c>
    </row>
    <row r="194" spans="1:2">
      <c r="A194" s="8">
        <v>44166</v>
      </c>
      <c r="B194" s="3">
        <v>315.11383979727316</v>
      </c>
    </row>
    <row r="195" spans="1:2">
      <c r="A195" s="8">
        <v>44197</v>
      </c>
      <c r="B195" s="3">
        <v>283.31878145527418</v>
      </c>
    </row>
    <row r="196" spans="1:2">
      <c r="A196" s="8">
        <v>44228</v>
      </c>
      <c r="B196" s="3">
        <v>200.16798918569179</v>
      </c>
    </row>
    <row r="197" spans="1:2">
      <c r="A197" s="8">
        <v>44256</v>
      </c>
      <c r="B197" s="3">
        <v>221.53261501859527</v>
      </c>
    </row>
    <row r="198" spans="1:2">
      <c r="A198" s="8">
        <v>44287</v>
      </c>
      <c r="B198" s="3">
        <v>206.48369580672235</v>
      </c>
    </row>
    <row r="199" spans="1:2">
      <c r="A199" s="8">
        <v>44317</v>
      </c>
      <c r="B199" s="3">
        <v>179.89884290197725</v>
      </c>
    </row>
    <row r="200" spans="1:2">
      <c r="A200" s="8">
        <v>44348</v>
      </c>
      <c r="B200" s="3">
        <v>181.23428421323726</v>
      </c>
    </row>
    <row r="201" spans="1:2">
      <c r="A201" s="8">
        <v>44378</v>
      </c>
      <c r="B201" s="3">
        <v>190.65836251606945</v>
      </c>
    </row>
    <row r="202" spans="1:2">
      <c r="A202" s="8">
        <v>44409</v>
      </c>
      <c r="B202" s="3">
        <v>210.23411722809971</v>
      </c>
    </row>
    <row r="203" spans="1:2">
      <c r="A203" s="8">
        <v>44440</v>
      </c>
      <c r="B203" s="3">
        <v>220.05266910688033</v>
      </c>
    </row>
    <row r="204" spans="1:2">
      <c r="A204" s="8">
        <v>44470</v>
      </c>
      <c r="B204" s="3">
        <v>195.53073812288125</v>
      </c>
    </row>
    <row r="205" spans="1:2">
      <c r="A205" s="8">
        <v>44501</v>
      </c>
      <c r="B205" s="3">
        <v>234.91654455772948</v>
      </c>
    </row>
    <row r="206" spans="1:2">
      <c r="A206" s="8">
        <v>44531</v>
      </c>
      <c r="B206" s="3">
        <v>267.81439306043461</v>
      </c>
    </row>
    <row r="207" spans="1:2">
      <c r="A207" s="8">
        <v>44562</v>
      </c>
      <c r="B207" s="3">
        <v>233.86611032758714</v>
      </c>
    </row>
    <row r="208" spans="1:2">
      <c r="A208" s="8">
        <v>44593</v>
      </c>
      <c r="B208" s="3">
        <v>186.51485304517678</v>
      </c>
    </row>
    <row r="209" spans="1:2">
      <c r="A209" s="8">
        <v>44621</v>
      </c>
      <c r="B209" s="3">
        <v>305.92876637859626</v>
      </c>
    </row>
    <row r="210" spans="1:2">
      <c r="A210" s="8">
        <v>44652</v>
      </c>
      <c r="B210" s="3">
        <v>288.33916396727528</v>
      </c>
    </row>
    <row r="211" spans="1:2">
      <c r="A211" s="8">
        <v>44682</v>
      </c>
      <c r="B211" s="3">
        <v>290.83328593730448</v>
      </c>
    </row>
    <row r="212" spans="1:2">
      <c r="A212" s="8">
        <v>44713</v>
      </c>
      <c r="B212" s="3">
        <v>265.64971282286695</v>
      </c>
    </row>
    <row r="213" spans="1:2">
      <c r="A213" s="8">
        <v>44743</v>
      </c>
      <c r="B213" s="3">
        <v>305.81025857980325</v>
      </c>
    </row>
    <row r="214" spans="1:2">
      <c r="A214" s="8">
        <v>44774</v>
      </c>
      <c r="B214" s="3">
        <v>242.08024728261972</v>
      </c>
    </row>
    <row r="215" spans="1:2">
      <c r="A215" s="8">
        <v>44805</v>
      </c>
      <c r="B215" s="3">
        <v>254.32246218163783</v>
      </c>
    </row>
    <row r="216" spans="1:2">
      <c r="A216" s="8">
        <v>44835</v>
      </c>
      <c r="B216" s="3">
        <v>269.38167308003312</v>
      </c>
    </row>
    <row r="217" spans="1:2">
      <c r="A217" s="8">
        <v>44866</v>
      </c>
      <c r="B217" s="3">
        <v>327.42631946284712</v>
      </c>
    </row>
    <row r="218" spans="1:2">
      <c r="A218" s="8">
        <v>44896</v>
      </c>
      <c r="B218" s="3">
        <v>256.12586888296181</v>
      </c>
    </row>
    <row r="219" spans="1:2">
      <c r="A219" s="8">
        <v>44927</v>
      </c>
      <c r="B219" s="3">
        <v>229.43470907073205</v>
      </c>
    </row>
    <row r="220" spans="1:2">
      <c r="A220" s="8">
        <v>44958</v>
      </c>
      <c r="B220" s="3">
        <v>263.5794920922101</v>
      </c>
    </row>
    <row r="221" spans="1:2">
      <c r="A221" s="8">
        <v>44986</v>
      </c>
      <c r="B221" s="3">
        <v>339.98251718731456</v>
      </c>
    </row>
    <row r="222" spans="1:2">
      <c r="A222" s="8">
        <v>45017</v>
      </c>
      <c r="B222" s="3">
        <v>284.48181610332347</v>
      </c>
    </row>
    <row r="223" spans="1:2">
      <c r="A223" s="8">
        <v>45047</v>
      </c>
      <c r="B223" s="3">
        <v>214.06243660530828</v>
      </c>
    </row>
    <row r="224" spans="1:2">
      <c r="A224" s="8">
        <v>45078</v>
      </c>
      <c r="B224" s="3">
        <v>238.49183581826145</v>
      </c>
    </row>
    <row r="225" spans="1:2">
      <c r="A225" s="8">
        <v>45108</v>
      </c>
      <c r="B225" s="3">
        <v>203.27500104337264</v>
      </c>
    </row>
    <row r="226" spans="1:2">
      <c r="A226" s="8">
        <v>45139</v>
      </c>
      <c r="B226" s="3">
        <v>188.62060206145676</v>
      </c>
    </row>
    <row r="227" spans="1:2">
      <c r="A227" s="8">
        <v>45170</v>
      </c>
      <c r="B227" s="3">
        <v>213.42144221891957</v>
      </c>
    </row>
    <row r="228" spans="1:2">
      <c r="A228" s="8">
        <v>45200</v>
      </c>
      <c r="B228" s="3">
        <v>199.45899664045706</v>
      </c>
    </row>
    <row r="229" spans="1:2">
      <c r="A229" s="8">
        <v>45231</v>
      </c>
      <c r="B229" s="3">
        <v>221.23947372757539</v>
      </c>
    </row>
    <row r="230" spans="1:2">
      <c r="A230" s="8">
        <v>45261</v>
      </c>
      <c r="B230" s="3">
        <v>250.09286943195727</v>
      </c>
    </row>
    <row r="231" spans="1:2">
      <c r="A231" s="8">
        <v>45292</v>
      </c>
      <c r="B231" s="3">
        <v>263.24541202160128</v>
      </c>
    </row>
    <row r="232" spans="1:2">
      <c r="A232" s="8">
        <v>45323</v>
      </c>
      <c r="B232" s="3">
        <v>182.00786071904193</v>
      </c>
    </row>
    <row r="233" spans="1:2">
      <c r="A233" s="8">
        <v>45352</v>
      </c>
      <c r="B233" s="3">
        <v>189.89753721535533</v>
      </c>
    </row>
    <row r="234" spans="1:2">
      <c r="A234" s="8">
        <v>45383</v>
      </c>
      <c r="B234" s="3">
        <v>178.14568033070077</v>
      </c>
    </row>
    <row r="235" spans="1:2">
      <c r="A235" s="8">
        <v>45413</v>
      </c>
      <c r="B235" s="3">
        <v>191.40401142926817</v>
      </c>
    </row>
    <row r="236" spans="1:2">
      <c r="A236" s="8">
        <v>45444</v>
      </c>
      <c r="B236" s="3">
        <v>175.6118807949544</v>
      </c>
    </row>
    <row r="237" spans="1:2">
      <c r="A237" s="8">
        <v>45474</v>
      </c>
      <c r="B237" s="3">
        <v>244.8646092924179</v>
      </c>
    </row>
    <row r="238" spans="1:2">
      <c r="A238" s="8">
        <v>45505</v>
      </c>
      <c r="B238" s="3">
        <v>202.19846658538549</v>
      </c>
    </row>
    <row r="239" spans="1:2">
      <c r="A239" s="8">
        <v>45536</v>
      </c>
      <c r="B239" s="3">
        <v>211.62606641729235</v>
      </c>
    </row>
    <row r="240" spans="1:2">
      <c r="A240" s="8">
        <v>45566</v>
      </c>
      <c r="B240" s="3">
        <v>215.30477819474424</v>
      </c>
    </row>
    <row r="241" spans="1:2">
      <c r="A241" s="8">
        <v>45597</v>
      </c>
      <c r="B241" s="3">
        <v>281.98094916909332</v>
      </c>
    </row>
    <row r="242" spans="1:2">
      <c r="A242" s="8">
        <v>45627</v>
      </c>
      <c r="B242" s="3">
        <v>336.72508880396026</v>
      </c>
    </row>
    <row r="243" spans="1:2">
      <c r="A243" s="8">
        <v>45658</v>
      </c>
      <c r="B243" s="3">
        <v>309.68000775827858</v>
      </c>
    </row>
    <row r="244" spans="1:2">
      <c r="A244" s="8">
        <v>45689</v>
      </c>
      <c r="B244" s="3">
        <v>319.9595703778059</v>
      </c>
    </row>
    <row r="245" spans="1:2">
      <c r="A245" s="8">
        <v>45717</v>
      </c>
      <c r="B245" s="3">
        <v>459.37896184566586</v>
      </c>
    </row>
    <row r="246" spans="1:2">
      <c r="A246" s="8">
        <v>45748</v>
      </c>
      <c r="B246" s="3">
        <v>584.65212754255742</v>
      </c>
    </row>
    <row r="247" spans="1:2">
      <c r="A247" s="8">
        <v>45778</v>
      </c>
      <c r="B247" s="3">
        <v>484.71578432716711</v>
      </c>
    </row>
    <row r="248" spans="1:2">
      <c r="A248" s="8">
        <v>45809</v>
      </c>
      <c r="B248" s="3">
        <v>358.55888236939552</v>
      </c>
    </row>
    <row r="249" spans="1:2">
      <c r="A249" s="8">
        <v>45839</v>
      </c>
      <c r="B249" s="3">
        <v>395.34453389485452</v>
      </c>
    </row>
    <row r="250" spans="1:2">
      <c r="A250" s="8">
        <v>45870</v>
      </c>
      <c r="B250" s="3">
        <v>332.07479705017988</v>
      </c>
    </row>
    <row r="251" spans="1:2">
      <c r="A251" s="8">
        <v>45901</v>
      </c>
      <c r="B251" s="3">
        <v>297.6189053615164</v>
      </c>
    </row>
    <row r="252" spans="1:2">
      <c r="A252" s="8">
        <v>45931</v>
      </c>
      <c r="B252" s="3">
        <v>404.56293470540879</v>
      </c>
    </row>
    <row r="253" spans="1:2">
      <c r="A253" s="22" t="s">
        <v>32</v>
      </c>
      <c r="B253" s="22"/>
    </row>
  </sheetData>
  <mergeCells count="2">
    <mergeCell ref="A1:B1"/>
    <mergeCell ref="A253:B253"/>
  </mergeCells>
  <conditionalFormatting sqref="B3:B175">
    <cfRule type="containsErrors" dxfId="0" priority="1">
      <formula>ISERROR(B3)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CE05-2A87-4588-B2B9-83296EB54F4E}">
  <dimension ref="A1:C11"/>
  <sheetViews>
    <sheetView workbookViewId="0">
      <selection sqref="A1:C1"/>
    </sheetView>
  </sheetViews>
  <sheetFormatPr baseColWidth="10" defaultColWidth="8.83203125" defaultRowHeight="14"/>
  <cols>
    <col min="1" max="1" width="20.5" style="6" customWidth="1"/>
    <col min="2" max="2" width="8.83203125" style="6"/>
    <col min="3" max="3" width="11.1640625" style="6" customWidth="1"/>
    <col min="4" max="16384" width="8.83203125" style="6"/>
  </cols>
  <sheetData>
    <row r="1" spans="1:3">
      <c r="A1" s="21" t="s">
        <v>150</v>
      </c>
      <c r="B1" s="21"/>
      <c r="C1" s="21"/>
    </row>
    <row r="2" spans="1:3">
      <c r="A2" s="14"/>
      <c r="B2" s="9" t="s">
        <v>52</v>
      </c>
      <c r="C2" s="11"/>
    </row>
    <row r="3" spans="1:3">
      <c r="A3" s="1"/>
      <c r="B3" s="1">
        <v>2023</v>
      </c>
      <c r="C3" s="1">
        <v>2024</v>
      </c>
    </row>
    <row r="4" spans="1:3">
      <c r="A4" s="1" t="s">
        <v>33</v>
      </c>
      <c r="B4" s="1">
        <v>1673</v>
      </c>
      <c r="C4" s="1">
        <v>1493</v>
      </c>
    </row>
    <row r="5" spans="1:3" ht="16.5" customHeight="1">
      <c r="A5" s="15" t="s">
        <v>37</v>
      </c>
      <c r="B5" s="1">
        <v>807</v>
      </c>
      <c r="C5" s="1">
        <v>626</v>
      </c>
    </row>
    <row r="6" spans="1:3">
      <c r="A6" s="1" t="s">
        <v>34</v>
      </c>
      <c r="B6" s="1">
        <v>439</v>
      </c>
      <c r="C6" s="1">
        <v>182</v>
      </c>
    </row>
    <row r="7" spans="1:3" ht="15">
      <c r="A7" s="15" t="s">
        <v>38</v>
      </c>
      <c r="B7" s="1">
        <v>280</v>
      </c>
      <c r="C7" s="1">
        <v>343</v>
      </c>
    </row>
    <row r="8" spans="1:3" ht="15.5" customHeight="1">
      <c r="A8" s="15" t="s">
        <v>39</v>
      </c>
      <c r="B8" s="1">
        <v>865</v>
      </c>
      <c r="C8" s="1">
        <v>867</v>
      </c>
    </row>
    <row r="9" spans="1:3">
      <c r="A9" s="1" t="s">
        <v>35</v>
      </c>
      <c r="B9" s="1">
        <v>55</v>
      </c>
      <c r="C9" s="1">
        <v>97</v>
      </c>
    </row>
    <row r="10" spans="1:3">
      <c r="A10" s="1" t="s">
        <v>36</v>
      </c>
      <c r="B10" s="1">
        <v>622</v>
      </c>
      <c r="C10" s="1">
        <v>605</v>
      </c>
    </row>
    <row r="11" spans="1:3" ht="43.5" customHeight="1">
      <c r="A11" s="39" t="s">
        <v>40</v>
      </c>
      <c r="B11" s="39"/>
      <c r="C11" s="39"/>
    </row>
  </sheetData>
  <mergeCells count="3">
    <mergeCell ref="A1:C1"/>
    <mergeCell ref="A11:C11"/>
    <mergeCell ref="B2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8191-AFA1-1E44-AA96-124AD91584DF}">
  <dimension ref="A3:F8"/>
  <sheetViews>
    <sheetView workbookViewId="0">
      <selection activeCell="C12" sqref="C12"/>
    </sheetView>
  </sheetViews>
  <sheetFormatPr baseColWidth="10" defaultColWidth="14.1640625" defaultRowHeight="14"/>
  <cols>
    <col min="1" max="1" width="19" style="6" customWidth="1"/>
    <col min="2" max="6" width="10.1640625" style="6" customWidth="1"/>
    <col min="7" max="16384" width="14.1640625" style="6"/>
  </cols>
  <sheetData>
    <row r="3" spans="1:6" ht="14" customHeight="1">
      <c r="A3" s="7" t="s">
        <v>158</v>
      </c>
      <c r="B3" s="7"/>
      <c r="C3" s="7"/>
      <c r="D3" s="7"/>
      <c r="E3" s="7"/>
      <c r="F3" s="7"/>
    </row>
    <row r="4" spans="1:6">
      <c r="A4" s="4"/>
      <c r="B4" s="24" t="s">
        <v>57</v>
      </c>
      <c r="C4" s="25"/>
      <c r="D4" s="24" t="s">
        <v>58</v>
      </c>
      <c r="E4" s="25"/>
      <c r="F4" s="4" t="s">
        <v>74</v>
      </c>
    </row>
    <row r="5" spans="1:6">
      <c r="A5" s="4"/>
      <c r="B5" s="4" t="s">
        <v>79</v>
      </c>
      <c r="C5" s="4" t="s">
        <v>90</v>
      </c>
      <c r="D5" s="4" t="s">
        <v>79</v>
      </c>
      <c r="E5" s="4" t="s">
        <v>90</v>
      </c>
      <c r="F5" s="4" t="s">
        <v>79</v>
      </c>
    </row>
    <row r="6" spans="1:6">
      <c r="A6" s="1" t="s">
        <v>88</v>
      </c>
      <c r="B6" s="3">
        <v>5.126201453720447</v>
      </c>
      <c r="C6" s="3">
        <v>5.9569302613293296</v>
      </c>
      <c r="D6" s="3">
        <v>7.3396371066208665</v>
      </c>
      <c r="E6" s="3">
        <v>7.0641117577523005</v>
      </c>
      <c r="F6" s="3">
        <v>7.4958930778533661</v>
      </c>
    </row>
    <row r="7" spans="1:6">
      <c r="A7" s="1" t="s">
        <v>89</v>
      </c>
      <c r="B7" s="3">
        <v>6.9</v>
      </c>
      <c r="C7" s="3">
        <v>6.9</v>
      </c>
      <c r="D7" s="3">
        <v>6.9</v>
      </c>
      <c r="E7" s="3">
        <v>6.9</v>
      </c>
      <c r="F7" s="3">
        <v>6.9</v>
      </c>
    </row>
    <row r="8" spans="1:6">
      <c r="A8" s="16" t="s">
        <v>91</v>
      </c>
      <c r="B8" s="17"/>
      <c r="C8" s="17"/>
      <c r="D8" s="17"/>
      <c r="E8" s="17"/>
      <c r="F8" s="18"/>
    </row>
  </sheetData>
  <mergeCells count="4">
    <mergeCell ref="A3:F3"/>
    <mergeCell ref="A8:F8"/>
    <mergeCell ref="B4:C4"/>
    <mergeCell ref="D4:E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A7E7-62F6-804E-A783-5117505B7C08}">
  <dimension ref="A3:D20"/>
  <sheetViews>
    <sheetView workbookViewId="0">
      <selection activeCell="A3" sqref="A3:D3"/>
    </sheetView>
  </sheetViews>
  <sheetFormatPr baseColWidth="10" defaultRowHeight="14"/>
  <cols>
    <col min="1" max="16384" width="10.83203125" style="6"/>
  </cols>
  <sheetData>
    <row r="3" spans="1:4" ht="27" customHeight="1">
      <c r="A3" s="7" t="s">
        <v>159</v>
      </c>
      <c r="B3" s="7"/>
      <c r="C3" s="7"/>
      <c r="D3" s="7"/>
    </row>
    <row r="4" spans="1:4" ht="45">
      <c r="A4" s="4"/>
      <c r="B4" s="4"/>
      <c r="C4" s="19" t="s">
        <v>77</v>
      </c>
      <c r="D4" s="19" t="s">
        <v>78</v>
      </c>
    </row>
    <row r="5" spans="1:4">
      <c r="A5" s="2" t="s">
        <v>79</v>
      </c>
      <c r="B5" s="1" t="s">
        <v>80</v>
      </c>
      <c r="C5" s="3">
        <v>56.859232108408243</v>
      </c>
      <c r="D5" s="3"/>
    </row>
    <row r="6" spans="1:4">
      <c r="A6" s="2"/>
      <c r="B6" s="1" t="s">
        <v>81</v>
      </c>
      <c r="C6" s="3">
        <v>55.918081298222987</v>
      </c>
      <c r="D6" s="3"/>
    </row>
    <row r="7" spans="1:4">
      <c r="A7" s="2"/>
      <c r="B7" s="1" t="s">
        <v>82</v>
      </c>
      <c r="C7" s="3">
        <v>57.045601335171447</v>
      </c>
      <c r="D7" s="3">
        <v>56.607638247267566</v>
      </c>
    </row>
    <row r="8" spans="1:4">
      <c r="A8" s="2"/>
      <c r="B8" s="1" t="s">
        <v>83</v>
      </c>
      <c r="C8" s="3">
        <v>58.207804235548757</v>
      </c>
      <c r="D8" s="3">
        <v>57.057162289647728</v>
      </c>
    </row>
    <row r="9" spans="1:4">
      <c r="A9" s="2"/>
      <c r="B9" s="1" t="s">
        <v>84</v>
      </c>
      <c r="C9" s="3">
        <v>58.267463359013817</v>
      </c>
      <c r="D9" s="3">
        <v>57.840289643244681</v>
      </c>
    </row>
    <row r="10" spans="1:4">
      <c r="A10" s="2"/>
      <c r="B10" s="1" t="s">
        <v>85</v>
      </c>
      <c r="C10" s="3">
        <v>58.42553051634026</v>
      </c>
      <c r="D10" s="3">
        <v>58.300266036967606</v>
      </c>
    </row>
    <row r="11" spans="1:4">
      <c r="A11" s="2"/>
      <c r="B11" s="1" t="s">
        <v>86</v>
      </c>
      <c r="C11" s="3">
        <v>57.985162132858001</v>
      </c>
      <c r="D11" s="3">
        <v>58.226052002737362</v>
      </c>
    </row>
    <row r="12" spans="1:4">
      <c r="A12" s="2"/>
      <c r="B12" s="1" t="s">
        <v>87</v>
      </c>
      <c r="C12" s="3">
        <v>57.948682408726292</v>
      </c>
      <c r="D12" s="3">
        <v>58.119791685974853</v>
      </c>
    </row>
    <row r="13" spans="1:4">
      <c r="A13" s="2"/>
      <c r="B13" s="1" t="s">
        <v>53</v>
      </c>
      <c r="C13" s="3">
        <v>60.00861950508871</v>
      </c>
      <c r="D13" s="3">
        <v>58.647488015557663</v>
      </c>
    </row>
    <row r="14" spans="1:4">
      <c r="A14" s="2"/>
      <c r="B14" s="1" t="s">
        <v>54</v>
      </c>
      <c r="C14" s="3">
        <v>60.460530668899317</v>
      </c>
      <c r="D14" s="3">
        <v>59.472610860904773</v>
      </c>
    </row>
    <row r="15" spans="1:4">
      <c r="A15" s="2"/>
      <c r="B15" s="1" t="s">
        <v>55</v>
      </c>
      <c r="C15" s="3">
        <v>59.267197052149392</v>
      </c>
      <c r="D15" s="3">
        <v>59.912115742045806</v>
      </c>
    </row>
    <row r="16" spans="1:4">
      <c r="A16" s="2"/>
      <c r="B16" s="1" t="s">
        <v>56</v>
      </c>
      <c r="C16" s="3">
        <v>60.221018192268559</v>
      </c>
      <c r="D16" s="3">
        <v>59.982915304439096</v>
      </c>
    </row>
    <row r="17" spans="1:4">
      <c r="A17" s="2"/>
      <c r="B17" s="1" t="s">
        <v>57</v>
      </c>
      <c r="C17" s="3">
        <v>59.69246671694016</v>
      </c>
      <c r="D17" s="3">
        <v>59.726893987119375</v>
      </c>
    </row>
    <row r="18" spans="1:4">
      <c r="A18" s="2"/>
      <c r="B18" s="1" t="s">
        <v>58</v>
      </c>
      <c r="C18" s="3">
        <v>61.117557334505776</v>
      </c>
      <c r="D18" s="3">
        <v>60.343680747904834</v>
      </c>
    </row>
    <row r="19" spans="1:4">
      <c r="A19" s="2"/>
      <c r="B19" s="1" t="s">
        <v>74</v>
      </c>
      <c r="C19" s="3">
        <v>61.386689830118144</v>
      </c>
      <c r="D19" s="3">
        <v>60.73223796052136</v>
      </c>
    </row>
    <row r="20" spans="1:4">
      <c r="A20" s="16" t="s">
        <v>91</v>
      </c>
      <c r="B20" s="17"/>
      <c r="C20" s="17"/>
      <c r="D20" s="18"/>
    </row>
  </sheetData>
  <mergeCells count="3">
    <mergeCell ref="A5:A19"/>
    <mergeCell ref="A3:D3"/>
    <mergeCell ref="A20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Table I.1</vt:lpstr>
      <vt:lpstr>Chart I.1</vt:lpstr>
      <vt:lpstr>Chart I.2</vt:lpstr>
      <vt:lpstr>Chart I.3</vt:lpstr>
      <vt:lpstr>Chart I.4</vt:lpstr>
      <vt:lpstr>Chart I.5</vt:lpstr>
      <vt:lpstr>Chart I.6</vt:lpstr>
      <vt:lpstr>Chart I.7</vt:lpstr>
      <vt:lpstr>Chart I.8</vt:lpstr>
      <vt:lpstr>Chart I.9</vt:lpstr>
      <vt:lpstr>Chart I.10</vt:lpstr>
      <vt:lpstr>Chart I.11</vt:lpstr>
      <vt:lpstr>Chart I.12</vt:lpstr>
      <vt:lpstr>Chart I.13</vt:lpstr>
      <vt:lpstr>Chart I.14</vt:lpstr>
      <vt:lpstr>Chart I.15</vt:lpstr>
      <vt:lpstr>Chart I.16</vt:lpstr>
      <vt:lpstr>Chart I.17</vt:lpstr>
      <vt:lpstr>Chart I.18</vt:lpstr>
      <vt:lpstr>Chart 1.21</vt:lpstr>
      <vt:lpstr>Chart I.22</vt:lpstr>
      <vt:lpstr>Chart I.23</vt:lpstr>
      <vt:lpstr>Chart I.24</vt:lpstr>
      <vt:lpstr>Chart I.25</vt:lpstr>
      <vt:lpstr>Chart I.26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Bharadwaja Adiraju</dc:creator>
  <cp:lastModifiedBy>Sonali Chowdhry</cp:lastModifiedBy>
  <dcterms:created xsi:type="dcterms:W3CDTF">2015-06-05T18:17:20Z</dcterms:created>
  <dcterms:modified xsi:type="dcterms:W3CDTF">2026-01-28T17:06:57Z</dcterms:modified>
</cp:coreProperties>
</file>